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mac/Desktop/EVERYDAY NEEDS/INVENTORY AND SAMPLE COMP/AUGUST CASCADING/ATMS SAMPLE COMP CASCADING/"/>
    </mc:Choice>
  </mc:AlternateContent>
  <bookViews>
    <workbookView xWindow="0" yWindow="460" windowWidth="27320" windowHeight="13920" tabRatio="1000" firstSheet="5" activeTab="5"/>
  </bookViews>
  <sheets>
    <sheet name="PROMO- LOCAL" sheetId="11" state="hidden" r:id="rId1"/>
    <sheet name="FOREIGN STRETCH-60 DAYS" sheetId="15" state="hidden" r:id="rId2"/>
    <sheet name="FOREIGN SPOT-30 DAYS" sheetId="10" state="hidden" r:id="rId3"/>
    <sheet name="PROMO-FOREIGN excp chinese" sheetId="12" state="hidden" r:id="rId4"/>
    <sheet name="FOREIGN SPOT-60 DAYS " sheetId="16" state="hidden" r:id="rId5"/>
    <sheet name="TEMPLATE ONLY-ENCODE DETAILS" sheetId="9" r:id="rId6"/>
    <sheet name="LOCAL STRETCH-30 DAYS" sheetId="14" r:id="rId7"/>
    <sheet name="FOREIGN STRETCH-60 DAYS (1)" sheetId="17" state="hidden" r:id="rId8"/>
    <sheet name="LOCAL SPOT-30 DAYS " sheetId="13" r:id="rId9"/>
    <sheet name="20-36-BANK-LOCAL ONLY" sheetId="1" state="hidden" r:id="rId10"/>
    <sheet name="10-10-48-BANK-LOCAL ONLY" sheetId="2" state="hidden" r:id="rId11"/>
    <sheet name="FOREIGN SPOT-60 DAYS" sheetId="18" state="hidden" r:id="rId12"/>
    <sheet name="100% - 48MON" sheetId="4" r:id="rId13"/>
    <sheet name="20-80-60-DEFERRED" sheetId="6" state="hidden" r:id="rId14"/>
    <sheet name="20-80-60" sheetId="3" state="hidden" r:id="rId15"/>
    <sheet name="10-90-60-DEFERRED" sheetId="5" r:id="rId16"/>
    <sheet name="50-50-60-DEFERRED" sheetId="8" r:id="rId17"/>
    <sheet name="SPOT CASH" sheetId="7" r:id="rId18"/>
  </sheets>
  <definedNames>
    <definedName name="ACServiceFee" localSheetId="10">'10-10-48-BANK-LOCAL ONLY'!$G$28</definedName>
    <definedName name="ACServiceFee" localSheetId="15">'10-90-60-DEFERRED'!$G$28</definedName>
    <definedName name="ACServiceFee" localSheetId="12">'100% - 48MON'!$G$28</definedName>
    <definedName name="ACServiceFee" localSheetId="14">'20-80-60'!$G$28</definedName>
    <definedName name="ACServiceFee" localSheetId="13">'20-80-60-DEFERRED'!$G$28</definedName>
    <definedName name="ACServiceFee" localSheetId="17">'SPOT CASH'!$G$29</definedName>
    <definedName name="ACServiceFee">'20-36-BANK-LOCAL ONLY'!$G$28</definedName>
    <definedName name="AllowedDefMonths" localSheetId="10">'10-10-48-BANK-LOCAL ONLY'!$G$5</definedName>
    <definedName name="AllowedDefMonths" localSheetId="15">'10-90-60-DEFERRED'!$G$5</definedName>
    <definedName name="AllowedDefMonths" localSheetId="12">'100% - 48MON'!$G$5</definedName>
    <definedName name="AllowedDefMonths" localSheetId="14">'20-80-60'!$G$5</definedName>
    <definedName name="AllowedDefMonths" localSheetId="13">'20-80-60-DEFERRED'!$G$5</definedName>
    <definedName name="AllowedDefMonths">'20-36-BANK-LOCAL ONLY'!$G$5</definedName>
    <definedName name="BookingDiscount" localSheetId="10">'10-10-48-BANK-LOCAL ONLY'!$G$16</definedName>
    <definedName name="BookingDiscount" localSheetId="15">'10-90-60-DEFERRED'!$G$16</definedName>
    <definedName name="BookingDiscount" localSheetId="12">'100% - 48MON'!$G$16</definedName>
    <definedName name="BookingDiscount" localSheetId="14">'20-80-60'!$G$16</definedName>
    <definedName name="BookingDiscount" localSheetId="13">'20-80-60-DEFERRED'!$G$16</definedName>
    <definedName name="BookingDiscount" localSheetId="17">'SPOT CASH'!$G$17</definedName>
    <definedName name="BookingDiscount">'20-36-BANK-LOCAL ONLY'!$G$16</definedName>
    <definedName name="BulkDiscount" localSheetId="10">'10-10-48-BANK-LOCAL ONLY'!$G$19</definedName>
    <definedName name="BulkDiscount" localSheetId="15">'10-90-60-DEFERRED'!$G$19</definedName>
    <definedName name="BulkDiscount" localSheetId="12">'100% - 48MON'!$G$19</definedName>
    <definedName name="BulkDiscount" localSheetId="14">'20-80-60'!$G$19</definedName>
    <definedName name="BulkDiscount" localSheetId="13">'20-80-60-DEFERRED'!$G$19</definedName>
    <definedName name="BulkDiscount" localSheetId="17">'SPOT CASH'!$G$20</definedName>
    <definedName name="BulkDiscount">'20-36-BANK-LOCAL ONLY'!$G$19</definedName>
    <definedName name="CommittedSalesDiscount" localSheetId="10">'10-10-48-BANK-LOCAL ONLY'!$G$15</definedName>
    <definedName name="CommittedSalesDiscount" localSheetId="15">'10-90-60-DEFERRED'!$G$15</definedName>
    <definedName name="CommittedSalesDiscount" localSheetId="12">'100% - 48MON'!$G$15</definedName>
    <definedName name="CommittedSalesDiscount" localSheetId="14">'20-80-60'!$G$15</definedName>
    <definedName name="CommittedSalesDiscount" localSheetId="13">'20-80-60-DEFERRED'!$G$15</definedName>
    <definedName name="CommittedSalesDiscount" localSheetId="17">'SPOT CASH'!$G$16</definedName>
    <definedName name="CommittedSalesDiscount">'20-36-BANK-LOCAL ONLY'!$G$15</definedName>
    <definedName name="Discount1Desc" localSheetId="10">'10-10-48-BANK-LOCAL ONLY'!$B$21</definedName>
    <definedName name="Discount1Desc" localSheetId="15">'10-90-60-DEFERRED'!$B$21</definedName>
    <definedName name="Discount1Desc" localSheetId="12">'100% - 48MON'!$B$21</definedName>
    <definedName name="Discount1Desc" localSheetId="14">'20-80-60'!$B$21</definedName>
    <definedName name="Discount1Desc" localSheetId="13">'20-80-60-DEFERRED'!$B$21</definedName>
    <definedName name="Discount1Desc" localSheetId="17">'SPOT CASH'!$B$22</definedName>
    <definedName name="Discount1Desc">'20-36-BANK-LOCAL ONLY'!$B$21</definedName>
    <definedName name="Discount1Value" localSheetId="10">'10-10-48-BANK-LOCAL ONLY'!$G$21</definedName>
    <definedName name="Discount1Value" localSheetId="15">'10-90-60-DEFERRED'!$G$21</definedName>
    <definedName name="Discount1Value" localSheetId="12">'100% - 48MON'!$G$21</definedName>
    <definedName name="Discount1Value" localSheetId="14">'20-80-60'!$G$21</definedName>
    <definedName name="Discount1Value" localSheetId="13">'20-80-60-DEFERRED'!$G$21</definedName>
    <definedName name="Discount1Value" localSheetId="17">'SPOT CASH'!$G$22</definedName>
    <definedName name="Discount1Value">'20-36-BANK-LOCAL ONLY'!$G$21</definedName>
    <definedName name="Discount2Desc" localSheetId="10">'10-10-48-BANK-LOCAL ONLY'!$B$22</definedName>
    <definedName name="Discount2Desc" localSheetId="15">'10-90-60-DEFERRED'!$B$22</definedName>
    <definedName name="Discount2Desc" localSheetId="12">'100% - 48MON'!$B$22</definedName>
    <definedName name="Discount2Desc" localSheetId="14">'20-80-60'!$B$22</definedName>
    <definedName name="Discount2Desc" localSheetId="13">'20-80-60-DEFERRED'!$B$22</definedName>
    <definedName name="Discount2Desc" localSheetId="17">'SPOT CASH'!$B$23</definedName>
    <definedName name="Discount2Desc">'20-36-BANK-LOCAL ONLY'!$B$22</definedName>
    <definedName name="Discount2Value" localSheetId="10">'10-10-48-BANK-LOCAL ONLY'!$G$22</definedName>
    <definedName name="Discount2Value" localSheetId="15">'10-90-60-DEFERRED'!$G$22</definedName>
    <definedName name="Discount2Value" localSheetId="12">'100% - 48MON'!$G$22</definedName>
    <definedName name="Discount2Value" localSheetId="14">'20-80-60'!$G$22</definedName>
    <definedName name="Discount2Value" localSheetId="13">'20-80-60-DEFERRED'!$G$22</definedName>
    <definedName name="Discount2Value" localSheetId="17">'SPOT CASH'!$G$23</definedName>
    <definedName name="Discount2Value">'20-36-BANK-LOCAL ONLY'!$G$22</definedName>
    <definedName name="Downpayment" localSheetId="10">'10-10-48-BANK-LOCAL ONLY'!$A$33</definedName>
    <definedName name="Downpayment" localSheetId="15">'10-90-60-DEFERRED'!$A$33</definedName>
    <definedName name="Downpayment" localSheetId="12">'100% - 48MON'!$A$33</definedName>
    <definedName name="Downpayment" localSheetId="14">'20-80-60'!$A$33</definedName>
    <definedName name="Downpayment" localSheetId="13">'20-80-60-DEFERRED'!$A$33</definedName>
    <definedName name="Downpayment" localSheetId="17">'SPOT CASH'!$C$34</definedName>
    <definedName name="Downpayment">'20-36-BANK-LOCAL ONLY'!$A$33</definedName>
    <definedName name="DPDate" localSheetId="10">'10-10-48-BANK-LOCAL ONLY'!$F$41</definedName>
    <definedName name="DPDate" localSheetId="15">'10-90-60-DEFERRED'!$F$36</definedName>
    <definedName name="DPDate" localSheetId="12">'100% - 48MON'!$D$39</definedName>
    <definedName name="DPDate" localSheetId="14">'20-80-60'!$F$41</definedName>
    <definedName name="DPDate" localSheetId="13">'20-80-60-DEFERRED'!$F$36</definedName>
    <definedName name="DPDate" localSheetId="17">'SPOT CASH'!$F$35</definedName>
    <definedName name="DPDate">'20-36-BANK-LOCAL ONLY'!$D$40</definedName>
    <definedName name="EmployeeDiscount" localSheetId="10">'10-10-48-BANK-LOCAL ONLY'!$G$18</definedName>
    <definedName name="EmployeeDiscount" localSheetId="15">'10-90-60-DEFERRED'!$G$18</definedName>
    <definedName name="EmployeeDiscount" localSheetId="12">'100% - 48MON'!$G$18</definedName>
    <definedName name="EmployeeDiscount" localSheetId="14">'20-80-60'!$G$18</definedName>
    <definedName name="EmployeeDiscount" localSheetId="13">'20-80-60-DEFERRED'!$G$18</definedName>
    <definedName name="EmployeeDiscount" localSheetId="17">'SPOT CASH'!$G$19</definedName>
    <definedName name="EmployeeDiscount">'20-36-BANK-LOCAL ONLY'!$G$18</definedName>
    <definedName name="Floor" localSheetId="10">'10-10-48-BANK-LOCAL ONLY'!$C$7</definedName>
    <definedName name="Floor" localSheetId="15">'10-90-60-DEFERRED'!$C$7</definedName>
    <definedName name="Floor" localSheetId="12">'100% - 48MON'!$C$7</definedName>
    <definedName name="Floor" localSheetId="14">'20-80-60'!$C$7</definedName>
    <definedName name="Floor" localSheetId="13">'20-80-60-DEFERRED'!$C$7</definedName>
    <definedName name="Floor" localSheetId="17">'SPOT CASH'!$C$7</definedName>
    <definedName name="Floor">'20-36-BANK-LOCAL ONLY'!$C$7</definedName>
    <definedName name="FloorArea" localSheetId="10">'10-10-48-BANK-LOCAL ONLY'!$D$7</definedName>
    <definedName name="FloorArea" localSheetId="15">'10-90-60-DEFERRED'!$D$7</definedName>
    <definedName name="FloorArea" localSheetId="12">'100% - 48MON'!$D$7</definedName>
    <definedName name="FloorArea" localSheetId="14">'20-80-60'!$D$7</definedName>
    <definedName name="FloorArea" localSheetId="13">'20-80-60-DEFERRED'!$D$7</definedName>
    <definedName name="FloorArea" localSheetId="17">'SPOT CASH'!$D$7</definedName>
    <definedName name="FloorArea">'20-36-BANK-LOCAL ONLY'!$D$7</definedName>
    <definedName name="LumpOCDate" localSheetId="10">'10-10-48-BANK-LOCAL ONLY'!$B$24</definedName>
    <definedName name="LumpOCDate" localSheetId="15">'10-90-60-DEFERRED'!$F$40</definedName>
    <definedName name="LumpOCDate" localSheetId="12">'100% - 48MON'!$F$35</definedName>
    <definedName name="LumpOCDate" localSheetId="14">'20-80-60'!$B$24</definedName>
    <definedName name="LumpOCDate" localSheetId="13">'20-80-60-DEFERRED'!$F$40</definedName>
    <definedName name="LumpOCDate" localSheetId="17">'SPOT CASH'!$B$25</definedName>
    <definedName name="LumpOCDate">'20-36-BANK-LOCAL ONLY'!$B$24</definedName>
    <definedName name="Mode" localSheetId="10">'10-10-48-BANK-LOCAL ONLY'!$D$4</definedName>
    <definedName name="Mode" localSheetId="15">'10-90-60-DEFERRED'!$D$4</definedName>
    <definedName name="Mode" localSheetId="12">'100% - 48MON'!$D$4</definedName>
    <definedName name="Mode" localSheetId="14">'20-80-60'!$D$4</definedName>
    <definedName name="Mode" localSheetId="13">'20-80-60-DEFERRED'!$D$4</definedName>
    <definedName name="Mode" localSheetId="17">'SPOT CASH'!$D$4</definedName>
    <definedName name="Mode">'20-36-BANK-LOCAL ONLY'!$D$4</definedName>
    <definedName name="Model" localSheetId="10">'10-10-48-BANK-LOCAL ONLY'!$F$7</definedName>
    <definedName name="Model" localSheetId="15">'10-90-60-DEFERRED'!$F$7</definedName>
    <definedName name="Model" localSheetId="12">'100% - 48MON'!$F$7</definedName>
    <definedName name="Model" localSheetId="14">'20-80-60'!$F$7</definedName>
    <definedName name="Model" localSheetId="13">'20-80-60-DEFERRED'!$F$7</definedName>
    <definedName name="Model" localSheetId="17">'SPOT CASH'!$F$7</definedName>
    <definedName name="Model">'20-36-BANK-LOCAL ONLY'!$F$7</definedName>
    <definedName name="NoDPSchedule" localSheetId="10">'10-10-48-BANK-LOCAL ONLY'!$A$47</definedName>
    <definedName name="NoDPSchedule" localSheetId="15">'10-90-60-DEFERRED'!$A$43</definedName>
    <definedName name="NoDPSchedule" localSheetId="12">'100% - 48MON'!$A$38</definedName>
    <definedName name="NoDPSchedule" localSheetId="14">'20-80-60'!$A$47</definedName>
    <definedName name="NoDPSchedule" localSheetId="13">'20-80-60-DEFERRED'!$A$43</definedName>
    <definedName name="NoDPSchedule" localSheetId="17">'SPOT CASH'!$B$34</definedName>
    <definedName name="NoDPSchedule">'20-36-BANK-LOCAL ONLY'!$A$39</definedName>
    <definedName name="Note1" localSheetId="10">'10-10-48-BANK-LOCAL ONLY'!$A$112</definedName>
    <definedName name="Note1" localSheetId="15">'10-90-60-DEFERRED'!$A$117</definedName>
    <definedName name="Note1" localSheetId="12">'100% - 48MON'!$A$91</definedName>
    <definedName name="Note1" localSheetId="14">'20-80-60'!$A$97</definedName>
    <definedName name="Note1" localSheetId="13">'20-80-60-DEFERRED'!$A$123</definedName>
    <definedName name="Note1">'20-36-BANK-LOCAL ONLY'!$A$113</definedName>
    <definedName name="OtherBSDiscount" localSheetId="10">'10-10-48-BANK-LOCAL ONLY'!$G$17</definedName>
    <definedName name="OtherBSDiscount" localSheetId="15">'10-90-60-DEFERRED'!$G$17</definedName>
    <definedName name="OtherBSDiscount" localSheetId="12">'100% - 48MON'!$G$17</definedName>
    <definedName name="OtherBSDiscount" localSheetId="14">'20-80-60'!$G$17</definedName>
    <definedName name="OtherBSDiscount" localSheetId="13">'20-80-60-DEFERRED'!$G$17</definedName>
    <definedName name="OtherBSDiscount" localSheetId="17">'SPOT CASH'!$G$18</definedName>
    <definedName name="OtherBSDiscount">'20-36-BANK-LOCAL ONLY'!$G$17</definedName>
    <definedName name="OtherChargesPercentage" localSheetId="10">'10-10-48-BANK-LOCAL ONLY'!$A$26</definedName>
    <definedName name="OtherChargesPercentage" localSheetId="15">'10-90-60-DEFERRED'!$A$26</definedName>
    <definedName name="OtherChargesPercentage" localSheetId="12">'100% - 48MON'!$A$26</definedName>
    <definedName name="OtherChargesPercentage" localSheetId="14">'20-80-60'!$A$26</definedName>
    <definedName name="OtherChargesPercentage" localSheetId="13">'20-80-60-DEFERRED'!$A$26</definedName>
    <definedName name="OtherChargesPercentage" localSheetId="17">'SPOT CASH'!$A$27</definedName>
    <definedName name="OtherChargesPercentage">'20-36-BANK-LOCAL ONLY'!$A$26</definedName>
    <definedName name="OtherDiscount" localSheetId="10">'10-10-48-BANK-LOCAL ONLY'!$G$20</definedName>
    <definedName name="OtherDiscount" localSheetId="15">'10-90-60-DEFERRED'!$G$20</definedName>
    <definedName name="OtherDiscount" localSheetId="12">'100% - 48MON'!$G$20</definedName>
    <definedName name="OtherDiscount" localSheetId="14">'20-80-60'!$G$20</definedName>
    <definedName name="OtherDiscount" localSheetId="13">'20-80-60-DEFERRED'!$G$20</definedName>
    <definedName name="OtherDiscount" localSheetId="17">'SPOT CASH'!$G$21</definedName>
    <definedName name="OtherDiscount">'20-36-BANK-LOCAL ONLY'!$G$20</definedName>
    <definedName name="OtherRSDiscount" localSheetId="10">'10-10-48-BANK-LOCAL ONLY'!$G$14</definedName>
    <definedName name="OtherRSDiscount" localSheetId="15">'10-90-60-DEFERRED'!$G$14</definedName>
    <definedName name="OtherRSDiscount" localSheetId="12">'100% - 48MON'!$G$14</definedName>
    <definedName name="OtherRSDiscount" localSheetId="14">'20-80-60'!$G$14</definedName>
    <definedName name="OtherRSDiscount" localSheetId="13">'20-80-60-DEFERRED'!$G$14</definedName>
    <definedName name="OtherRSDiscount" localSheetId="17">'SPOT CASH'!$G$15</definedName>
    <definedName name="OtherRSDiscount">'20-36-BANK-LOCAL ONLY'!$G$14</definedName>
    <definedName name="Payee" localSheetId="10">'10-10-48-BANK-LOCAL ONLY'!$A$121</definedName>
    <definedName name="Payee" localSheetId="15">'10-90-60-DEFERRED'!$A$126</definedName>
    <definedName name="Payee" localSheetId="12">'100% - 48MON'!$A$100</definedName>
    <definedName name="Payee" localSheetId="14">'20-80-60'!$A$106</definedName>
    <definedName name="Payee" localSheetId="13">'20-80-60-DEFERRED'!$A$132</definedName>
    <definedName name="Payee" localSheetId="17">'SPOT CASH'!$A$45</definedName>
    <definedName name="Payee">'20-36-BANK-LOCAL ONLY'!$A$122</definedName>
    <definedName name="PercentageDiscount" localSheetId="10">'10-10-48-BANK-LOCAL ONLY'!$A$12</definedName>
    <definedName name="PercentageDiscount" localSheetId="15">'10-90-60-DEFERRED'!$A$12</definedName>
    <definedName name="PercentageDiscount" localSheetId="12">'100% - 48MON'!$A$12</definedName>
    <definedName name="PercentageDiscount" localSheetId="14">'20-80-60'!$A$12</definedName>
    <definedName name="PercentageDiscount" localSheetId="13">'20-80-60-DEFERRED'!$A$12</definedName>
    <definedName name="PercentageDiscount" localSheetId="17">'SPOT CASH'!$A$13</definedName>
    <definedName name="PercentageDiscount">'20-36-BANK-LOCAL ONLY'!$A$12</definedName>
    <definedName name="_xlnm.Print_Area" localSheetId="3">'PROMO-FOREIGN excp chinese'!$A$1:$G$138</definedName>
    <definedName name="_xlnm.Print_Area" localSheetId="17">'SPOT CASH'!$A$1:$G$61</definedName>
    <definedName name="ProjectDateCompletion">'SPOT CASH'!$G$5</definedName>
    <definedName name="ProjectName" localSheetId="10">'10-10-48-BANK-LOCAL ONLY'!$A$3</definedName>
    <definedName name="ProjectName" localSheetId="15">'10-90-60-DEFERRED'!$A$3</definedName>
    <definedName name="ProjectName" localSheetId="12">'100% - 48MON'!$A$3</definedName>
    <definedName name="ProjectName" localSheetId="14">'20-80-60'!$A$3</definedName>
    <definedName name="ProjectName" localSheetId="13">'20-80-60-DEFERRED'!$A$3</definedName>
    <definedName name="ProjectName" localSheetId="17">'SPOT CASH'!$A$3</definedName>
    <definedName name="ProjectName">'20-36-BANK-LOCAL ONLY'!$A$3</definedName>
    <definedName name="ReservationDate" localSheetId="10">'10-10-48-BANK-LOCAL ONLY'!$F$36</definedName>
    <definedName name="ReservationDate" localSheetId="15">'10-90-60-DEFERRED'!$F$31</definedName>
    <definedName name="ReservationDate" localSheetId="12">'100% - 48MON'!$F$31</definedName>
    <definedName name="ReservationDate" localSheetId="14">'20-80-60'!$F$36</definedName>
    <definedName name="ReservationDate" localSheetId="13">'20-80-60-DEFERRED'!$F$31</definedName>
    <definedName name="ReservationDate" localSheetId="17">'SPOT CASH'!$F$32</definedName>
    <definedName name="ReservationDate">'20-36-BANK-LOCAL ONLY'!$F$36</definedName>
    <definedName name="ReservationDiscount" localSheetId="10">'10-10-48-BANK-LOCAL ONLY'!$G$13</definedName>
    <definedName name="ReservationDiscount" localSheetId="15">'10-90-60-DEFERRED'!$G$13</definedName>
    <definedName name="ReservationDiscount" localSheetId="12">'100% - 48MON'!$G$13</definedName>
    <definedName name="ReservationDiscount" localSheetId="14">'20-80-60'!$G$13</definedName>
    <definedName name="ReservationDiscount" localSheetId="13">'20-80-60-DEFERRED'!$G$13</definedName>
    <definedName name="ReservationDiscount" localSheetId="17">'SPOT CASH'!$G$14</definedName>
    <definedName name="ReservationDiscount">'20-36-BANK-LOCAL ONLY'!$G$13</definedName>
    <definedName name="ReservationFee" localSheetId="10">'10-10-48-BANK-LOCAL ONLY'!$G$36</definedName>
    <definedName name="ReservationFee" localSheetId="15">'10-90-60-DEFERRED'!$G$31</definedName>
    <definedName name="ReservationFee" localSheetId="12">'100% - 48MON'!$G$31</definedName>
    <definedName name="ReservationFee" localSheetId="14">'20-80-60'!$G$36</definedName>
    <definedName name="ReservationFee" localSheetId="13">'20-80-60-DEFERRED'!$G$31</definedName>
    <definedName name="ReservationFee" localSheetId="17">'SPOT CASH'!$G$32</definedName>
    <definedName name="ReservationFee">'20-36-BANK-LOCAL ONLY'!$G$36</definedName>
    <definedName name="SellingPrice" localSheetId="10">'10-10-48-BANK-LOCAL ONLY'!$G$10</definedName>
    <definedName name="SellingPrice" localSheetId="15">'10-90-60-DEFERRED'!$G$10</definedName>
    <definedName name="SellingPrice" localSheetId="12">'100% - 48MON'!$G$10</definedName>
    <definedName name="SellingPrice" localSheetId="14">'20-80-60'!$G$10</definedName>
    <definedName name="SellingPrice" localSheetId="13">'20-80-60-DEFERRED'!$G$10</definedName>
    <definedName name="SellingPrice" localSheetId="17">'SPOT CASH'!$G$10</definedName>
    <definedName name="SellingPrice">'20-36-BANK-LOCAL ONLY'!$G$10</definedName>
    <definedName name="ServiceFee" localSheetId="10">'10-10-48-BANK-LOCAL ONLY'!$G$27</definedName>
    <definedName name="ServiceFee" localSheetId="15">'10-90-60-DEFERRED'!$G$27</definedName>
    <definedName name="ServiceFee" localSheetId="12">'100% - 48MON'!$G$27</definedName>
    <definedName name="ServiceFee" localSheetId="14">'20-80-60'!$G$27</definedName>
    <definedName name="ServiceFee" localSheetId="13">'20-80-60-DEFERRED'!$G$27</definedName>
    <definedName name="ServiceFee" localSheetId="17">'SPOT CASH'!$G$28</definedName>
    <definedName name="ServiceFee">'20-36-BANK-LOCAL ONLY'!$G$27</definedName>
    <definedName name="SpotDownpayment" localSheetId="10">'10-10-48-BANK-LOCAL ONLY'!$A$39</definedName>
    <definedName name="SpotDownpayment" localSheetId="15">'10-90-60-DEFERRED'!$A$35</definedName>
    <definedName name="SpotDownpayment" localSheetId="12">'100% - 48MON'!$B$33</definedName>
    <definedName name="SpotDownpayment" localSheetId="14">'20-80-60'!$A$39</definedName>
    <definedName name="SpotDownpayment" localSheetId="13">'20-80-60-DEFERRED'!$A$35</definedName>
    <definedName name="SpotDownpayment" localSheetId="17">'SPOT CASH'!$A$34</definedName>
    <definedName name="SpotDownpayment">'20-36-BANK-LOCAL ONLY'!$A$38</definedName>
    <definedName name="StandardDiscount" localSheetId="10">'10-10-48-BANK-LOCAL ONLY'!$G$12</definedName>
    <definedName name="StandardDiscount" localSheetId="15">'10-90-60-DEFERRED'!$G$12</definedName>
    <definedName name="StandardDiscount" localSheetId="12">'100% - 48MON'!$G$12</definedName>
    <definedName name="StandardDiscount" localSheetId="14">'20-80-60'!$G$12</definedName>
    <definedName name="StandardDiscount" localSheetId="13">'20-80-60-DEFERRED'!$G$12</definedName>
    <definedName name="StandardDiscount" localSheetId="17">'SPOT CASH'!$G$13</definedName>
    <definedName name="StandardDiscount">'20-36-BANK-LOCAL ONLY'!$G$12</definedName>
    <definedName name="TotalOtherCharges" localSheetId="10">'10-10-48-BANK-LOCAL ONLY'!$G$26</definedName>
    <definedName name="TotalOtherCharges" localSheetId="15">'10-90-60-DEFERRED'!$G$26</definedName>
    <definedName name="TotalOtherCharges" localSheetId="12">'100% - 48MON'!$G$26</definedName>
    <definedName name="TotalOtherCharges" localSheetId="14">'20-80-60'!$G$26</definedName>
    <definedName name="TotalOtherCharges" localSheetId="13">'20-80-60-DEFERRED'!$G$26</definedName>
    <definedName name="TotalOtherCharges" localSheetId="17">'SPOT CASH'!$G$27</definedName>
    <definedName name="TotalOtherCharges">'20-36-BANK-LOCAL ONLY'!$G$26</definedName>
    <definedName name="Tower" localSheetId="10">'10-10-48-BANK-LOCAL ONLY'!$A$7</definedName>
    <definedName name="Tower" localSheetId="15">'10-90-60-DEFERRED'!$A$7</definedName>
    <definedName name="Tower" localSheetId="12">'100% - 48MON'!$A$7</definedName>
    <definedName name="Tower" localSheetId="14">'20-80-60'!$A$7</definedName>
    <definedName name="Tower" localSheetId="13">'20-80-60-DEFERRED'!$A$7</definedName>
    <definedName name="Tower" localSheetId="17">'SPOT CASH'!$A$7</definedName>
    <definedName name="Tower">'20-36-BANK-LOCAL ONLY'!$A$7</definedName>
    <definedName name="Unit" localSheetId="10">'10-10-48-BANK-LOCAL ONLY'!$B$7</definedName>
    <definedName name="Unit" localSheetId="15">'10-90-60-DEFERRED'!$B$7</definedName>
    <definedName name="Unit" localSheetId="12">'100% - 48MON'!$B$7</definedName>
    <definedName name="Unit" localSheetId="14">'20-80-60'!$B$7</definedName>
    <definedName name="Unit" localSheetId="13">'20-80-60-DEFERRED'!$B$7</definedName>
    <definedName name="Unit" localSheetId="17">'SPOT CASH'!$B$7</definedName>
    <definedName name="Unit">'20-36-BANK-LOCAL ONLY'!$B$7</definedName>
  </definedName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0" i="13" l="1"/>
  <c r="F91" i="14"/>
  <c r="F91" i="9"/>
  <c r="F99" i="13"/>
  <c r="F90" i="14"/>
  <c r="F90" i="9"/>
  <c r="F109" i="18"/>
  <c r="F108" i="18"/>
  <c r="F37" i="13"/>
  <c r="F42" i="13"/>
  <c r="F109" i="17"/>
  <c r="F108" i="17"/>
  <c r="F32" i="7"/>
  <c r="F33" i="7"/>
  <c r="F31" i="8"/>
  <c r="F35" i="8"/>
  <c r="F31" i="5"/>
  <c r="F36" i="5"/>
  <c r="F31" i="4"/>
  <c r="D39" i="4"/>
  <c r="F37" i="18"/>
  <c r="F42" i="18"/>
  <c r="F36" i="14"/>
  <c r="D40" i="14"/>
  <c r="F36" i="17"/>
  <c r="D40" i="17"/>
  <c r="F36" i="9"/>
  <c r="D40" i="9"/>
  <c r="I20" i="4"/>
  <c r="G10" i="17"/>
  <c r="G102" i="18"/>
  <c r="F102" i="18"/>
  <c r="E102" i="18"/>
  <c r="G101" i="18"/>
  <c r="F101" i="18"/>
  <c r="E101" i="18"/>
  <c r="G100" i="18"/>
  <c r="F100" i="18"/>
  <c r="E100" i="18"/>
  <c r="G99" i="18"/>
  <c r="F99" i="18"/>
  <c r="E99" i="18"/>
  <c r="G98" i="18"/>
  <c r="F98" i="18"/>
  <c r="E98" i="18"/>
  <c r="G97" i="18"/>
  <c r="F97" i="18"/>
  <c r="E97" i="18"/>
  <c r="B46" i="18"/>
  <c r="A44" i="18"/>
  <c r="B44" i="18"/>
  <c r="B40" i="18"/>
  <c r="B34" i="18"/>
  <c r="F28" i="18"/>
  <c r="G10" i="18"/>
  <c r="F7" i="18"/>
  <c r="D7" i="18"/>
  <c r="C7" i="18"/>
  <c r="B7" i="18"/>
  <c r="A7" i="18"/>
  <c r="A4" i="18"/>
  <c r="G16" i="16"/>
  <c r="F109" i="15"/>
  <c r="G91" i="17"/>
  <c r="F91" i="17"/>
  <c r="E91" i="17"/>
  <c r="G90" i="17"/>
  <c r="F90" i="17"/>
  <c r="E90" i="17"/>
  <c r="G89" i="17"/>
  <c r="F89" i="17"/>
  <c r="E89" i="17"/>
  <c r="G88" i="17"/>
  <c r="F88" i="17"/>
  <c r="E88" i="17"/>
  <c r="B33" i="17"/>
  <c r="F27" i="17"/>
  <c r="I10" i="17"/>
  <c r="F7" i="17"/>
  <c r="D7" i="17"/>
  <c r="C7" i="17"/>
  <c r="B7" i="17"/>
  <c r="A7" i="17"/>
  <c r="A4" i="17"/>
  <c r="F108" i="16"/>
  <c r="G16" i="10"/>
  <c r="F107" i="16"/>
  <c r="G101" i="16"/>
  <c r="F101" i="16"/>
  <c r="E101" i="16"/>
  <c r="G100" i="16"/>
  <c r="F100" i="16"/>
  <c r="E100" i="16"/>
  <c r="G99" i="16"/>
  <c r="F99" i="16"/>
  <c r="E99" i="16"/>
  <c r="G98" i="16"/>
  <c r="F98" i="16"/>
  <c r="E98" i="16"/>
  <c r="G97" i="16"/>
  <c r="F97" i="16"/>
  <c r="E97" i="16"/>
  <c r="G96" i="16"/>
  <c r="F96" i="16"/>
  <c r="E96" i="16"/>
  <c r="G95" i="16"/>
  <c r="F95" i="16"/>
  <c r="E95" i="16"/>
  <c r="G94" i="16"/>
  <c r="F94" i="16"/>
  <c r="E94" i="16"/>
  <c r="G93" i="16"/>
  <c r="F93" i="16"/>
  <c r="E93" i="16"/>
  <c r="G92" i="16"/>
  <c r="F92" i="16"/>
  <c r="E92" i="16"/>
  <c r="G91" i="16"/>
  <c r="F91" i="16"/>
  <c r="E91" i="16"/>
  <c r="G90" i="16"/>
  <c r="F90" i="16"/>
  <c r="E90" i="16"/>
  <c r="G89" i="16"/>
  <c r="F89" i="16"/>
  <c r="E89" i="16"/>
  <c r="G88" i="16"/>
  <c r="F88" i="16"/>
  <c r="E88" i="16"/>
  <c r="G87" i="16"/>
  <c r="F87" i="16"/>
  <c r="E87" i="16"/>
  <c r="G86" i="16"/>
  <c r="F86" i="16"/>
  <c r="E86" i="16"/>
  <c r="G85" i="16"/>
  <c r="F85" i="16"/>
  <c r="E85" i="16"/>
  <c r="G84" i="16"/>
  <c r="F84" i="16"/>
  <c r="E84" i="16"/>
  <c r="G83" i="16"/>
  <c r="F83" i="16"/>
  <c r="E83" i="16"/>
  <c r="G82" i="16"/>
  <c r="F82" i="16"/>
  <c r="E82" i="16"/>
  <c r="G81" i="16"/>
  <c r="F81" i="16"/>
  <c r="E81" i="16"/>
  <c r="G80" i="16"/>
  <c r="F80" i="16"/>
  <c r="E80" i="16"/>
  <c r="G79" i="16"/>
  <c r="F79" i="16"/>
  <c r="E79" i="16"/>
  <c r="G78" i="16"/>
  <c r="F78" i="16"/>
  <c r="E78" i="16"/>
  <c r="G77" i="16"/>
  <c r="F77" i="16"/>
  <c r="E77" i="16"/>
  <c r="G76" i="16"/>
  <c r="F76" i="16"/>
  <c r="E76" i="16"/>
  <c r="G75" i="16"/>
  <c r="F75" i="16"/>
  <c r="E75" i="16"/>
  <c r="G74" i="16"/>
  <c r="F74" i="16"/>
  <c r="E74" i="16"/>
  <c r="G73" i="16"/>
  <c r="F73" i="16"/>
  <c r="E73" i="16"/>
  <c r="G72" i="16"/>
  <c r="F72" i="16"/>
  <c r="E72" i="16"/>
  <c r="B45" i="16"/>
  <c r="A43" i="16"/>
  <c r="B43" i="16"/>
  <c r="B39" i="16"/>
  <c r="F36" i="16"/>
  <c r="F41" i="16"/>
  <c r="B33" i="16"/>
  <c r="F27" i="16"/>
  <c r="B12" i="16"/>
  <c r="G10" i="16"/>
  <c r="F7" i="16"/>
  <c r="D7" i="16"/>
  <c r="C7" i="16"/>
  <c r="B7" i="16"/>
  <c r="A7" i="16"/>
  <c r="A4" i="16"/>
  <c r="F108" i="10"/>
  <c r="F108" i="15"/>
  <c r="G91" i="15"/>
  <c r="F91" i="15"/>
  <c r="E91" i="15"/>
  <c r="G90" i="15"/>
  <c r="F90" i="15"/>
  <c r="E90" i="15"/>
  <c r="G89" i="15"/>
  <c r="F89" i="15"/>
  <c r="E89" i="15"/>
  <c r="G88" i="15"/>
  <c r="F88" i="15"/>
  <c r="E88" i="15"/>
  <c r="G87" i="15"/>
  <c r="F87" i="15"/>
  <c r="E87" i="15"/>
  <c r="G86" i="15"/>
  <c r="F86" i="15"/>
  <c r="E86" i="15"/>
  <c r="G85" i="15"/>
  <c r="F85" i="15"/>
  <c r="E85" i="15"/>
  <c r="G84" i="15"/>
  <c r="F84" i="15"/>
  <c r="E84" i="15"/>
  <c r="G83" i="15"/>
  <c r="F83" i="15"/>
  <c r="E83" i="15"/>
  <c r="G82" i="15"/>
  <c r="F82" i="15"/>
  <c r="E82" i="15"/>
  <c r="G81" i="15"/>
  <c r="F81" i="15"/>
  <c r="E81" i="15"/>
  <c r="G80" i="15"/>
  <c r="F80" i="15"/>
  <c r="E80" i="15"/>
  <c r="G79" i="15"/>
  <c r="F79" i="15"/>
  <c r="E79" i="15"/>
  <c r="G78" i="15"/>
  <c r="F78" i="15"/>
  <c r="E78" i="15"/>
  <c r="G77" i="15"/>
  <c r="F77" i="15"/>
  <c r="E77" i="15"/>
  <c r="G76" i="15"/>
  <c r="F76" i="15"/>
  <c r="E76" i="15"/>
  <c r="G75" i="15"/>
  <c r="F75" i="15"/>
  <c r="E75" i="15"/>
  <c r="G74" i="15"/>
  <c r="F74" i="15"/>
  <c r="E74" i="15"/>
  <c r="G73" i="15"/>
  <c r="F73" i="15"/>
  <c r="E73" i="15"/>
  <c r="G72" i="15"/>
  <c r="F72" i="15"/>
  <c r="E72" i="15"/>
  <c r="G71" i="15"/>
  <c r="F71" i="15"/>
  <c r="E71" i="15"/>
  <c r="G70" i="15"/>
  <c r="F70" i="15"/>
  <c r="E70" i="15"/>
  <c r="G69" i="15"/>
  <c r="F69" i="15"/>
  <c r="E69" i="15"/>
  <c r="G68" i="15"/>
  <c r="F68" i="15"/>
  <c r="E68" i="15"/>
  <c r="G67" i="15"/>
  <c r="F67" i="15"/>
  <c r="E67" i="15"/>
  <c r="G66" i="15"/>
  <c r="F66" i="15"/>
  <c r="E66" i="15"/>
  <c r="G65" i="15"/>
  <c r="F65" i="15"/>
  <c r="E65" i="15"/>
  <c r="G64" i="15"/>
  <c r="F64" i="15"/>
  <c r="E64" i="15"/>
  <c r="F36" i="15"/>
  <c r="D40" i="15"/>
  <c r="B33" i="15"/>
  <c r="F27" i="15"/>
  <c r="B12" i="15"/>
  <c r="H10" i="15"/>
  <c r="A4" i="15"/>
  <c r="I10" i="16"/>
  <c r="G10" i="14"/>
  <c r="F7" i="1"/>
  <c r="G10" i="1"/>
  <c r="G11" i="14"/>
  <c r="G10" i="13"/>
  <c r="G11" i="13"/>
  <c r="H12" i="13"/>
  <c r="H16" i="13"/>
  <c r="F108" i="12"/>
  <c r="F36" i="12"/>
  <c r="F36" i="10"/>
  <c r="B41" i="6"/>
  <c r="B40" i="6"/>
  <c r="A39" i="6"/>
  <c r="B39" i="6"/>
  <c r="B35" i="6"/>
  <c r="F31" i="6"/>
  <c r="F27" i="6"/>
  <c r="G10" i="6"/>
  <c r="F7" i="6"/>
  <c r="D7" i="6"/>
  <c r="C7" i="6"/>
  <c r="B7" i="6"/>
  <c r="A7" i="6"/>
  <c r="A4" i="6"/>
  <c r="B7" i="10"/>
  <c r="F7" i="13"/>
  <c r="D7" i="13"/>
  <c r="C7" i="13"/>
  <c r="B7" i="13"/>
  <c r="A7" i="13"/>
  <c r="F7" i="14"/>
  <c r="D7" i="14"/>
  <c r="C7" i="14"/>
  <c r="B7" i="14"/>
  <c r="A7" i="14"/>
  <c r="G24" i="14"/>
  <c r="G25" i="14"/>
  <c r="G33" i="14"/>
  <c r="G26" i="14"/>
  <c r="F27" i="14"/>
  <c r="G29" i="14"/>
  <c r="G34" i="14"/>
  <c r="G35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B33" i="14"/>
  <c r="I10" i="14"/>
  <c r="A4" i="14"/>
  <c r="G25" i="13"/>
  <c r="G26" i="13"/>
  <c r="G34" i="13"/>
  <c r="G40" i="13"/>
  <c r="G44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G27" i="13"/>
  <c r="F28" i="13"/>
  <c r="G30" i="13"/>
  <c r="G35" i="13"/>
  <c r="G41" i="13"/>
  <c r="G45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B46" i="13"/>
  <c r="A44" i="13"/>
  <c r="B44" i="13"/>
  <c r="B40" i="13"/>
  <c r="B34" i="13"/>
  <c r="A4" i="13"/>
  <c r="F108" i="2"/>
  <c r="F107" i="2"/>
  <c r="F108" i="1"/>
  <c r="H10" i="9"/>
  <c r="G10" i="7"/>
  <c r="F7" i="7"/>
  <c r="D7" i="7"/>
  <c r="C7" i="7"/>
  <c r="B7" i="7"/>
  <c r="A7" i="7"/>
  <c r="G10" i="8"/>
  <c r="F7" i="8"/>
  <c r="D7" i="8"/>
  <c r="C7" i="8"/>
  <c r="B7" i="8"/>
  <c r="A7" i="8"/>
  <c r="G10" i="4"/>
  <c r="F7" i="4"/>
  <c r="D7" i="4"/>
  <c r="C7" i="4"/>
  <c r="B7" i="4"/>
  <c r="A7" i="4"/>
  <c r="G10" i="5"/>
  <c r="F7" i="5"/>
  <c r="G11" i="5"/>
  <c r="D7" i="5"/>
  <c r="C7" i="5"/>
  <c r="B7" i="5"/>
  <c r="A7" i="5"/>
  <c r="G10" i="2"/>
  <c r="F7" i="2"/>
  <c r="D7" i="2"/>
  <c r="C7" i="2"/>
  <c r="B7" i="2"/>
  <c r="A7" i="2"/>
  <c r="G11" i="1"/>
  <c r="G24" i="1"/>
  <c r="D7" i="1"/>
  <c r="D7" i="3"/>
  <c r="C7" i="1"/>
  <c r="C7" i="3"/>
  <c r="B7" i="1"/>
  <c r="B7" i="3"/>
  <c r="A7" i="1"/>
  <c r="G10" i="12"/>
  <c r="F7" i="12"/>
  <c r="D7" i="12"/>
  <c r="C7" i="12"/>
  <c r="B7" i="12"/>
  <c r="A7" i="12"/>
  <c r="F7" i="10"/>
  <c r="D7" i="10"/>
  <c r="C7" i="10"/>
  <c r="A7" i="10"/>
  <c r="G10" i="10"/>
  <c r="I10" i="10"/>
  <c r="F109" i="1"/>
  <c r="F36" i="1"/>
  <c r="D40" i="11"/>
  <c r="F109" i="11"/>
  <c r="F108" i="11"/>
  <c r="F107" i="12"/>
  <c r="G101" i="12"/>
  <c r="F101" i="12"/>
  <c r="E101" i="12"/>
  <c r="G100" i="12"/>
  <c r="F100" i="12"/>
  <c r="E100" i="12"/>
  <c r="G99" i="12"/>
  <c r="F99" i="12"/>
  <c r="E99" i="12"/>
  <c r="G98" i="12"/>
  <c r="F98" i="12"/>
  <c r="E98" i="12"/>
  <c r="G97" i="12"/>
  <c r="F97" i="12"/>
  <c r="E97" i="12"/>
  <c r="G96" i="12"/>
  <c r="F96" i="12"/>
  <c r="E96" i="12"/>
  <c r="B45" i="12"/>
  <c r="A43" i="12"/>
  <c r="B43" i="12"/>
  <c r="B39" i="12"/>
  <c r="B33" i="12"/>
  <c r="F27" i="12"/>
  <c r="B12" i="12"/>
  <c r="A4" i="12"/>
  <c r="G91" i="11"/>
  <c r="F91" i="11"/>
  <c r="E91" i="11"/>
  <c r="G90" i="11"/>
  <c r="F90" i="11"/>
  <c r="E90" i="11"/>
  <c r="G89" i="11"/>
  <c r="F89" i="11"/>
  <c r="E89" i="11"/>
  <c r="G88" i="11"/>
  <c r="F88" i="11"/>
  <c r="E88" i="11"/>
  <c r="F36" i="11"/>
  <c r="B33" i="11"/>
  <c r="F27" i="11"/>
  <c r="B12" i="11"/>
  <c r="I10" i="11"/>
  <c r="H10" i="11"/>
  <c r="A4" i="11"/>
  <c r="F107" i="10"/>
  <c r="G101" i="10"/>
  <c r="F101" i="10"/>
  <c r="E101" i="10"/>
  <c r="G100" i="10"/>
  <c r="F100" i="10"/>
  <c r="E100" i="10"/>
  <c r="G99" i="10"/>
  <c r="F99" i="10"/>
  <c r="E99" i="10"/>
  <c r="G98" i="10"/>
  <c r="F98" i="10"/>
  <c r="E98" i="10"/>
  <c r="G97" i="10"/>
  <c r="F97" i="10"/>
  <c r="E97" i="10"/>
  <c r="G96" i="10"/>
  <c r="F96" i="10"/>
  <c r="E96" i="10"/>
  <c r="B45" i="10"/>
  <c r="A43" i="10"/>
  <c r="B43" i="10"/>
  <c r="B39" i="10"/>
  <c r="B33" i="10"/>
  <c r="F27" i="10"/>
  <c r="B12" i="10"/>
  <c r="A4" i="10"/>
  <c r="G11" i="9"/>
  <c r="G24" i="9"/>
  <c r="G25" i="9"/>
  <c r="G33" i="9"/>
  <c r="G26" i="9"/>
  <c r="F27" i="9"/>
  <c r="G29" i="9"/>
  <c r="G34" i="9"/>
  <c r="G35" i="9"/>
  <c r="E40" i="9"/>
  <c r="E78" i="9"/>
  <c r="E79" i="9"/>
  <c r="E80" i="9"/>
  <c r="E81" i="9"/>
  <c r="E82" i="9"/>
  <c r="E83" i="9"/>
  <c r="E84" i="9"/>
  <c r="E85" i="9"/>
  <c r="E86" i="9"/>
  <c r="E87" i="9"/>
  <c r="F40" i="9"/>
  <c r="F78" i="9"/>
  <c r="F79" i="9"/>
  <c r="F80" i="9"/>
  <c r="F81" i="9"/>
  <c r="F82" i="9"/>
  <c r="F83" i="9"/>
  <c r="F84" i="9"/>
  <c r="F85" i="9"/>
  <c r="F86" i="9"/>
  <c r="F87" i="9"/>
  <c r="G87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G86" i="9"/>
  <c r="G85" i="9"/>
  <c r="G84" i="9"/>
  <c r="G83" i="9"/>
  <c r="G82" i="9"/>
  <c r="G81" i="9"/>
  <c r="G80" i="9"/>
  <c r="G79" i="9"/>
  <c r="G78" i="9"/>
  <c r="G77" i="9"/>
  <c r="G76" i="9"/>
  <c r="B33" i="9"/>
  <c r="B12" i="9"/>
  <c r="A4" i="9"/>
  <c r="E88" i="1"/>
  <c r="F88" i="1"/>
  <c r="G88" i="1"/>
  <c r="E89" i="1"/>
  <c r="F89" i="1"/>
  <c r="G89" i="1"/>
  <c r="E90" i="1"/>
  <c r="F90" i="1"/>
  <c r="G90" i="1"/>
  <c r="E91" i="1"/>
  <c r="F91" i="1"/>
  <c r="G91" i="1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B41" i="8"/>
  <c r="B40" i="8"/>
  <c r="A39" i="8"/>
  <c r="B39" i="8"/>
  <c r="B35" i="8"/>
  <c r="F27" i="8"/>
  <c r="A4" i="8"/>
  <c r="I10" i="1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F37" i="7"/>
  <c r="B13" i="7"/>
  <c r="F36" i="3"/>
  <c r="F41" i="3"/>
  <c r="D48" i="3"/>
  <c r="A47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F36" i="2"/>
  <c r="F41" i="2"/>
  <c r="A4" i="7"/>
  <c r="F28" i="7"/>
  <c r="F27" i="5"/>
  <c r="B35" i="5"/>
  <c r="A39" i="5"/>
  <c r="B39" i="5"/>
  <c r="B40" i="5"/>
  <c r="F27" i="4"/>
  <c r="A34" i="4"/>
  <c r="B35" i="4"/>
  <c r="A4" i="4"/>
  <c r="B12" i="3"/>
  <c r="F27" i="3"/>
  <c r="B33" i="3"/>
  <c r="B39" i="3"/>
  <c r="A43" i="3"/>
  <c r="B43" i="3"/>
  <c r="B12" i="2"/>
  <c r="F27" i="2"/>
  <c r="B33" i="2"/>
  <c r="B39" i="2"/>
  <c r="A43" i="2"/>
  <c r="B43" i="2"/>
  <c r="B12" i="1"/>
  <c r="F27" i="1"/>
  <c r="B33" i="1"/>
  <c r="B41" i="5"/>
  <c r="B34" i="4"/>
  <c r="B45" i="2"/>
  <c r="A4" i="1"/>
  <c r="A4" i="2"/>
  <c r="B45" i="3"/>
  <c r="A4" i="5"/>
  <c r="F76" i="1"/>
  <c r="F77" i="1"/>
  <c r="F78" i="1"/>
  <c r="F79" i="1"/>
  <c r="F80" i="1"/>
  <c r="F81" i="1"/>
  <c r="F82" i="1"/>
  <c r="F83" i="1"/>
  <c r="F84" i="1"/>
  <c r="F85" i="1"/>
  <c r="F86" i="1"/>
  <c r="F87" i="1"/>
  <c r="E87" i="1"/>
  <c r="G87" i="1"/>
  <c r="G75" i="9"/>
  <c r="E95" i="10"/>
  <c r="G95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G64" i="9"/>
  <c r="E72" i="10"/>
  <c r="G65" i="9"/>
  <c r="E73" i="10"/>
  <c r="G72" i="10"/>
  <c r="G66" i="9"/>
  <c r="G73" i="10"/>
  <c r="E74" i="10"/>
  <c r="G67" i="9"/>
  <c r="G74" i="10"/>
  <c r="E75" i="10"/>
  <c r="G68" i="9"/>
  <c r="E76" i="10"/>
  <c r="G75" i="10"/>
  <c r="G69" i="9"/>
  <c r="E77" i="10"/>
  <c r="G76" i="10"/>
  <c r="G70" i="9"/>
  <c r="G77" i="10"/>
  <c r="E78" i="10"/>
  <c r="G71" i="9"/>
  <c r="G78" i="10"/>
  <c r="E79" i="10"/>
  <c r="G72" i="9"/>
  <c r="E80" i="10"/>
  <c r="G79" i="10"/>
  <c r="G74" i="9"/>
  <c r="G73" i="9"/>
  <c r="E81" i="10"/>
  <c r="G80" i="10"/>
  <c r="G81" i="10"/>
  <c r="E82" i="10"/>
  <c r="E76" i="1"/>
  <c r="G82" i="10"/>
  <c r="E83" i="10"/>
  <c r="E77" i="1"/>
  <c r="G76" i="1"/>
  <c r="E84" i="10"/>
  <c r="G83" i="10"/>
  <c r="E78" i="1"/>
  <c r="G77" i="1"/>
  <c r="E85" i="10"/>
  <c r="G84" i="10"/>
  <c r="G78" i="1"/>
  <c r="E79" i="1"/>
  <c r="G85" i="10"/>
  <c r="E86" i="10"/>
  <c r="G79" i="1"/>
  <c r="E80" i="1"/>
  <c r="G86" i="10"/>
  <c r="E87" i="10"/>
  <c r="E81" i="1"/>
  <c r="G80" i="1"/>
  <c r="E88" i="10"/>
  <c r="G87" i="10"/>
  <c r="E82" i="1"/>
  <c r="G81" i="1"/>
  <c r="E89" i="10"/>
  <c r="G88" i="10"/>
  <c r="G82" i="1"/>
  <c r="E83" i="1"/>
  <c r="G89" i="10"/>
  <c r="E90" i="10"/>
  <c r="G83" i="1"/>
  <c r="E84" i="1"/>
  <c r="G90" i="10"/>
  <c r="E91" i="10"/>
  <c r="E85" i="1"/>
  <c r="G84" i="1"/>
  <c r="E92" i="10"/>
  <c r="G91" i="10"/>
  <c r="E86" i="1"/>
  <c r="G86" i="1"/>
  <c r="G85" i="1"/>
  <c r="E93" i="10"/>
  <c r="G92" i="10"/>
  <c r="G93" i="10"/>
  <c r="E94" i="10"/>
  <c r="G94" i="10"/>
  <c r="A7" i="3"/>
  <c r="A4" i="3"/>
  <c r="F7" i="3"/>
  <c r="G11" i="4"/>
  <c r="G11" i="2"/>
  <c r="G10" i="3"/>
  <c r="G11" i="11"/>
  <c r="G24" i="11"/>
  <c r="G11" i="6"/>
  <c r="H10" i="14"/>
  <c r="G11" i="8"/>
  <c r="G11" i="12"/>
  <c r="H11" i="12"/>
  <c r="G12" i="12"/>
  <c r="G24" i="12"/>
  <c r="G11" i="3"/>
  <c r="G12" i="3"/>
  <c r="G24" i="3"/>
  <c r="G26" i="1"/>
  <c r="G29" i="1"/>
  <c r="G34" i="1"/>
  <c r="H11" i="2"/>
  <c r="G12" i="2"/>
  <c r="G24" i="2"/>
  <c r="G11" i="10"/>
  <c r="G11" i="7"/>
  <c r="G12" i="6"/>
  <c r="G24" i="6"/>
  <c r="H11" i="13"/>
  <c r="D40" i="1"/>
  <c r="K11" i="14"/>
  <c r="J11" i="14"/>
  <c r="G25" i="6"/>
  <c r="H13" i="7"/>
  <c r="H17" i="7"/>
  <c r="H11" i="7"/>
  <c r="H11" i="10"/>
  <c r="G12" i="10"/>
  <c r="H16" i="10"/>
  <c r="H23" i="10"/>
  <c r="H15" i="9"/>
  <c r="H23" i="9"/>
  <c r="G25" i="11"/>
  <c r="G26" i="11"/>
  <c r="G29" i="11"/>
  <c r="G109" i="11"/>
  <c r="G34" i="11"/>
  <c r="G26" i="12"/>
  <c r="G29" i="12"/>
  <c r="G25" i="12"/>
  <c r="G33" i="12"/>
  <c r="G30" i="12"/>
  <c r="G24" i="10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I12" i="13"/>
  <c r="G26" i="6"/>
  <c r="G29" i="6"/>
  <c r="G40" i="6"/>
  <c r="G35" i="6"/>
  <c r="G25" i="2"/>
  <c r="G39" i="2"/>
  <c r="G26" i="2"/>
  <c r="G29" i="2"/>
  <c r="G30" i="2"/>
  <c r="G33" i="2"/>
  <c r="H24" i="3"/>
  <c r="G26" i="3"/>
  <c r="G29" i="3"/>
  <c r="G25" i="3"/>
  <c r="G30" i="3"/>
  <c r="G25" i="1"/>
  <c r="G33" i="1"/>
  <c r="G35" i="1"/>
  <c r="G37" i="1"/>
  <c r="E40" i="1"/>
  <c r="E75" i="1"/>
  <c r="G39" i="12"/>
  <c r="G43" i="12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G109" i="1"/>
  <c r="G30" i="1"/>
  <c r="G34" i="3"/>
  <c r="G40" i="3"/>
  <c r="G44" i="3"/>
  <c r="G31" i="13"/>
  <c r="G100" i="13"/>
  <c r="G30" i="6"/>
  <c r="G32" i="6"/>
  <c r="G30" i="11"/>
  <c r="G33" i="11"/>
  <c r="G35" i="11"/>
  <c r="G40" i="2"/>
  <c r="G34" i="2"/>
  <c r="G44" i="2"/>
  <c r="G43" i="2"/>
  <c r="G35" i="2"/>
  <c r="G37" i="2"/>
  <c r="G25" i="10"/>
  <c r="G33" i="10"/>
  <c r="G26" i="10"/>
  <c r="G29" i="10"/>
  <c r="G39" i="10"/>
  <c r="G108" i="10"/>
  <c r="G34" i="12"/>
  <c r="G35" i="12"/>
  <c r="G37" i="12"/>
  <c r="G40" i="12"/>
  <c r="G33" i="3"/>
  <c r="G93" i="3"/>
  <c r="G108" i="2"/>
  <c r="G36" i="6"/>
  <c r="G39" i="6"/>
  <c r="F75" i="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G91" i="9"/>
  <c r="G30" i="9"/>
  <c r="G108" i="12"/>
  <c r="G39" i="3"/>
  <c r="G37" i="9"/>
  <c r="G43" i="10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E48" i="12"/>
  <c r="E95" i="12"/>
  <c r="G41" i="3"/>
  <c r="G30" i="10"/>
  <c r="G34" i="10"/>
  <c r="G35" i="10"/>
  <c r="G37" i="10"/>
  <c r="G40" i="10"/>
  <c r="G44" i="10"/>
  <c r="F103" i="6"/>
  <c r="G40" i="1"/>
  <c r="E41" i="1"/>
  <c r="E48" i="2"/>
  <c r="E95" i="2"/>
  <c r="G45" i="2"/>
  <c r="G41" i="6"/>
  <c r="E44" i="6"/>
  <c r="G43" i="3"/>
  <c r="G35" i="3"/>
  <c r="G37" i="3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G42" i="13"/>
  <c r="G75" i="1"/>
  <c r="G41" i="10"/>
  <c r="G44" i="12"/>
  <c r="G45" i="12"/>
  <c r="E40" i="11"/>
  <c r="G37" i="11"/>
  <c r="G41" i="12"/>
  <c r="G36" i="13"/>
  <c r="G38" i="13"/>
  <c r="G41" i="2"/>
  <c r="G44" i="6"/>
  <c r="E45" i="6"/>
  <c r="E48" i="10"/>
  <c r="E71" i="10"/>
  <c r="F48" i="10"/>
  <c r="F71" i="10"/>
  <c r="G71" i="10"/>
  <c r="G45" i="10"/>
  <c r="E41" i="11"/>
  <c r="G40" i="11"/>
  <c r="F95" i="2"/>
  <c r="G95" i="2"/>
  <c r="E49" i="2"/>
  <c r="G48" i="2"/>
  <c r="E42" i="1"/>
  <c r="G41" i="1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E87" i="11"/>
  <c r="G87" i="11"/>
  <c r="E103" i="6"/>
  <c r="G103" i="6"/>
  <c r="F48" i="12"/>
  <c r="F95" i="12"/>
  <c r="G95" i="12"/>
  <c r="G63" i="9"/>
  <c r="G46" i="13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E48" i="3"/>
  <c r="G45" i="3"/>
  <c r="G48" i="12"/>
  <c r="E49" i="12"/>
  <c r="G40" i="9"/>
  <c r="E50" i="2"/>
  <c r="G49" i="2"/>
  <c r="E49" i="3"/>
  <c r="G48" i="3"/>
  <c r="G49" i="13"/>
  <c r="E43" i="1"/>
  <c r="G42" i="1"/>
  <c r="E49" i="10"/>
  <c r="G48" i="10"/>
  <c r="G45" i="6"/>
  <c r="E46" i="6"/>
  <c r="E50" i="12"/>
  <c r="G49" i="12"/>
  <c r="G41" i="9"/>
  <c r="E89" i="3"/>
  <c r="G89" i="3"/>
  <c r="G96" i="13"/>
  <c r="E42" i="11"/>
  <c r="G41" i="11"/>
  <c r="G50" i="13"/>
  <c r="E43" i="11"/>
  <c r="G42" i="11"/>
  <c r="G50" i="12"/>
  <c r="E51" i="12"/>
  <c r="E50" i="10"/>
  <c r="G49" i="10"/>
  <c r="G42" i="9"/>
  <c r="G46" i="6"/>
  <c r="E47" i="6"/>
  <c r="E44" i="1"/>
  <c r="G43" i="1"/>
  <c r="E50" i="3"/>
  <c r="G49" i="3"/>
  <c r="G50" i="2"/>
  <c r="E51" i="2"/>
  <c r="G44" i="1"/>
  <c r="E45" i="1"/>
  <c r="E51" i="10"/>
  <c r="G50" i="10"/>
  <c r="G43" i="9"/>
  <c r="E52" i="12"/>
  <c r="G51" i="12"/>
  <c r="G51" i="13"/>
  <c r="E48" i="6"/>
  <c r="G47" i="6"/>
  <c r="E44" i="11"/>
  <c r="G43" i="11"/>
  <c r="G50" i="3"/>
  <c r="E51" i="3"/>
  <c r="G51" i="2"/>
  <c r="E52" i="2"/>
  <c r="E49" i="6"/>
  <c r="G48" i="6"/>
  <c r="E45" i="11"/>
  <c r="G44" i="11"/>
  <c r="E53" i="12"/>
  <c r="G52" i="12"/>
  <c r="E52" i="3"/>
  <c r="G51" i="3"/>
  <c r="G44" i="9"/>
  <c r="G52" i="13"/>
  <c r="E46" i="1"/>
  <c r="G45" i="1"/>
  <c r="G52" i="2"/>
  <c r="E53" i="2"/>
  <c r="G51" i="10"/>
  <c r="E52" i="10"/>
  <c r="G46" i="1"/>
  <c r="E47" i="1"/>
  <c r="E53" i="3"/>
  <c r="G52" i="3"/>
  <c r="E54" i="2"/>
  <c r="G53" i="2"/>
  <c r="G53" i="13"/>
  <c r="E54" i="12"/>
  <c r="G53" i="12"/>
  <c r="E46" i="11"/>
  <c r="G45" i="11"/>
  <c r="E53" i="10"/>
  <c r="G52" i="10"/>
  <c r="G45" i="9"/>
  <c r="G49" i="6"/>
  <c r="E50" i="6"/>
  <c r="G47" i="1"/>
  <c r="E48" i="1"/>
  <c r="E55" i="12"/>
  <c r="G54" i="12"/>
  <c r="G54" i="2"/>
  <c r="E55" i="2"/>
  <c r="G54" i="13"/>
  <c r="G46" i="9"/>
  <c r="G46" i="11"/>
  <c r="E47" i="11"/>
  <c r="G53" i="3"/>
  <c r="E54" i="3"/>
  <c r="E51" i="6"/>
  <c r="G50" i="6"/>
  <c r="E54" i="10"/>
  <c r="G53" i="10"/>
  <c r="E55" i="10"/>
  <c r="G54" i="10"/>
  <c r="G47" i="11"/>
  <c r="E48" i="11"/>
  <c r="E52" i="6"/>
  <c r="G51" i="6"/>
  <c r="G55" i="13"/>
  <c r="E56" i="12"/>
  <c r="G55" i="12"/>
  <c r="E55" i="3"/>
  <c r="G54" i="3"/>
  <c r="G55" i="2"/>
  <c r="E56" i="2"/>
  <c r="E49" i="1"/>
  <c r="G48" i="1"/>
  <c r="G47" i="9"/>
  <c r="E49" i="11"/>
  <c r="G48" i="11"/>
  <c r="G49" i="1"/>
  <c r="E50" i="1"/>
  <c r="G56" i="12"/>
  <c r="E57" i="12"/>
  <c r="G48" i="9"/>
  <c r="G56" i="2"/>
  <c r="E57" i="2"/>
  <c r="G52" i="6"/>
  <c r="E53" i="6"/>
  <c r="E56" i="3"/>
  <c r="G55" i="3"/>
  <c r="G56" i="13"/>
  <c r="G55" i="10"/>
  <c r="E56" i="10"/>
  <c r="E50" i="11"/>
  <c r="G49" i="11"/>
  <c r="G56" i="3"/>
  <c r="E57" i="3"/>
  <c r="G57" i="13"/>
  <c r="G57" i="2"/>
  <c r="E58" i="2"/>
  <c r="G57" i="12"/>
  <c r="E58" i="12"/>
  <c r="E57" i="10"/>
  <c r="G56" i="10"/>
  <c r="E54" i="6"/>
  <c r="G53" i="6"/>
  <c r="G49" i="9"/>
  <c r="G50" i="1"/>
  <c r="E51" i="1"/>
  <c r="E58" i="10"/>
  <c r="G57" i="10"/>
  <c r="G51" i="1"/>
  <c r="E52" i="1"/>
  <c r="E59" i="12"/>
  <c r="G58" i="12"/>
  <c r="E58" i="3"/>
  <c r="G57" i="3"/>
  <c r="G54" i="6"/>
  <c r="E55" i="6"/>
  <c r="G50" i="9"/>
  <c r="G58" i="2"/>
  <c r="E59" i="2"/>
  <c r="G58" i="13"/>
  <c r="E51" i="11"/>
  <c r="G50" i="11"/>
  <c r="G51" i="9"/>
  <c r="E56" i="6"/>
  <c r="G55" i="6"/>
  <c r="G58" i="10"/>
  <c r="E59" i="10"/>
  <c r="E60" i="12"/>
  <c r="G59" i="12"/>
  <c r="E60" i="2"/>
  <c r="G59" i="2"/>
  <c r="E53" i="1"/>
  <c r="G52" i="1"/>
  <c r="G59" i="13"/>
  <c r="E52" i="11"/>
  <c r="G51" i="11"/>
  <c r="G58" i="3"/>
  <c r="E59" i="3"/>
  <c r="E53" i="11"/>
  <c r="G52" i="11"/>
  <c r="E61" i="2"/>
  <c r="G60" i="2"/>
  <c r="G56" i="6"/>
  <c r="E57" i="6"/>
  <c r="G59" i="3"/>
  <c r="E60" i="3"/>
  <c r="G60" i="13"/>
  <c r="E60" i="10"/>
  <c r="G59" i="10"/>
  <c r="G52" i="9"/>
  <c r="G53" i="1"/>
  <c r="E54" i="1"/>
  <c r="G60" i="12"/>
  <c r="E61" i="12"/>
  <c r="G53" i="9"/>
  <c r="G60" i="10"/>
  <c r="E61" i="10"/>
  <c r="G61" i="2"/>
  <c r="E62" i="2"/>
  <c r="G54" i="1"/>
  <c r="E55" i="1"/>
  <c r="G57" i="6"/>
  <c r="E58" i="6"/>
  <c r="G61" i="13"/>
  <c r="E61" i="3"/>
  <c r="G60" i="3"/>
  <c r="G61" i="12"/>
  <c r="E62" i="12"/>
  <c r="E54" i="11"/>
  <c r="G53" i="11"/>
  <c r="E63" i="12"/>
  <c r="G62" i="12"/>
  <c r="G58" i="6"/>
  <c r="E59" i="6"/>
  <c r="E63" i="2"/>
  <c r="G62" i="2"/>
  <c r="G61" i="10"/>
  <c r="E62" i="10"/>
  <c r="E62" i="3"/>
  <c r="G61" i="3"/>
  <c r="G55" i="1"/>
  <c r="E56" i="1"/>
  <c r="E55" i="11"/>
  <c r="G54" i="11"/>
  <c r="G62" i="13"/>
  <c r="G54" i="9"/>
  <c r="E57" i="1"/>
  <c r="G56" i="1"/>
  <c r="G55" i="11"/>
  <c r="E56" i="11"/>
  <c r="G62" i="3"/>
  <c r="E63" i="3"/>
  <c r="G63" i="13"/>
  <c r="G63" i="2"/>
  <c r="E64" i="2"/>
  <c r="G62" i="10"/>
  <c r="E63" i="10"/>
  <c r="G59" i="6"/>
  <c r="E60" i="6"/>
  <c r="G55" i="9"/>
  <c r="E64" i="12"/>
  <c r="G63" i="12"/>
  <c r="E65" i="2"/>
  <c r="G64" i="2"/>
  <c r="G56" i="9"/>
  <c r="G63" i="10"/>
  <c r="E64" i="10"/>
  <c r="G63" i="3"/>
  <c r="E64" i="3"/>
  <c r="E58" i="1"/>
  <c r="G57" i="1"/>
  <c r="E61" i="6"/>
  <c r="G60" i="6"/>
  <c r="G64" i="13"/>
  <c r="E57" i="11"/>
  <c r="G56" i="11"/>
  <c r="E65" i="12"/>
  <c r="G64" i="12"/>
  <c r="E62" i="6"/>
  <c r="G61" i="6"/>
  <c r="G65" i="13"/>
  <c r="G57" i="9"/>
  <c r="G57" i="11"/>
  <c r="E58" i="11"/>
  <c r="E65" i="3"/>
  <c r="G64" i="3"/>
  <c r="E65" i="10"/>
  <c r="G64" i="10"/>
  <c r="E66" i="12"/>
  <c r="G65" i="12"/>
  <c r="G58" i="1"/>
  <c r="E59" i="1"/>
  <c r="G65" i="2"/>
  <c r="E66" i="2"/>
  <c r="E66" i="10"/>
  <c r="G65" i="10"/>
  <c r="E60" i="1"/>
  <c r="G59" i="1"/>
  <c r="G58" i="9"/>
  <c r="E66" i="3"/>
  <c r="G65" i="3"/>
  <c r="G66" i="13"/>
  <c r="E67" i="2"/>
  <c r="G66" i="2"/>
  <c r="E59" i="11"/>
  <c r="G58" i="11"/>
  <c r="G66" i="12"/>
  <c r="E67" i="12"/>
  <c r="G62" i="6"/>
  <c r="E63" i="6"/>
  <c r="G60" i="1"/>
  <c r="E61" i="1"/>
  <c r="E68" i="12"/>
  <c r="G67" i="12"/>
  <c r="G67" i="13"/>
  <c r="G59" i="9"/>
  <c r="E60" i="11"/>
  <c r="G59" i="11"/>
  <c r="E67" i="3"/>
  <c r="G66" i="3"/>
  <c r="E64" i="6"/>
  <c r="G63" i="6"/>
  <c r="G67" i="2"/>
  <c r="E68" i="2"/>
  <c r="G66" i="10"/>
  <c r="E67" i="10"/>
  <c r="E68" i="3"/>
  <c r="G67" i="3"/>
  <c r="E69" i="12"/>
  <c r="G68" i="12"/>
  <c r="G68" i="2"/>
  <c r="E69" i="2"/>
  <c r="E62" i="1"/>
  <c r="G61" i="1"/>
  <c r="E61" i="11"/>
  <c r="G60" i="11"/>
  <c r="G68" i="13"/>
  <c r="G60" i="9"/>
  <c r="G67" i="10"/>
  <c r="E68" i="10"/>
  <c r="E65" i="6"/>
  <c r="G64" i="6"/>
  <c r="G62" i="9"/>
  <c r="G61" i="9"/>
  <c r="E62" i="11"/>
  <c r="G61" i="11"/>
  <c r="E63" i="1"/>
  <c r="G62" i="1"/>
  <c r="G69" i="12"/>
  <c r="E70" i="12"/>
  <c r="E69" i="10"/>
  <c r="G68" i="10"/>
  <c r="G69" i="13"/>
  <c r="E70" i="2"/>
  <c r="G69" i="2"/>
  <c r="E66" i="6"/>
  <c r="G65" i="6"/>
  <c r="G68" i="3"/>
  <c r="E69" i="3"/>
  <c r="G69" i="3"/>
  <c r="E70" i="3"/>
  <c r="E70" i="10"/>
  <c r="G70" i="10"/>
  <c r="G69" i="10"/>
  <c r="E71" i="12"/>
  <c r="G70" i="12"/>
  <c r="G70" i="13"/>
  <c r="G62" i="11"/>
  <c r="E63" i="11"/>
  <c r="E67" i="6"/>
  <c r="G66" i="6"/>
  <c r="E71" i="2"/>
  <c r="G70" i="2"/>
  <c r="E64" i="1"/>
  <c r="G63" i="1"/>
  <c r="G64" i="1"/>
  <c r="E65" i="1"/>
  <c r="G71" i="2"/>
  <c r="E72" i="2"/>
  <c r="G71" i="12"/>
  <c r="E72" i="12"/>
  <c r="G63" i="11"/>
  <c r="E64" i="11"/>
  <c r="G67" i="6"/>
  <c r="E68" i="6"/>
  <c r="G70" i="3"/>
  <c r="E71" i="3"/>
  <c r="G71" i="13"/>
  <c r="G72" i="12"/>
  <c r="E73" i="12"/>
  <c r="G72" i="2"/>
  <c r="E73" i="2"/>
  <c r="G72" i="13"/>
  <c r="G71" i="3"/>
  <c r="E72" i="3"/>
  <c r="E69" i="6"/>
  <c r="G68" i="6"/>
  <c r="E65" i="11"/>
  <c r="G64" i="11"/>
  <c r="G65" i="1"/>
  <c r="E66" i="1"/>
  <c r="G65" i="11"/>
  <c r="E66" i="11"/>
  <c r="E67" i="1"/>
  <c r="G66" i="1"/>
  <c r="G73" i="13"/>
  <c r="G73" i="2"/>
  <c r="E74" i="2"/>
  <c r="G69" i="6"/>
  <c r="E70" i="6"/>
  <c r="E73" i="3"/>
  <c r="G72" i="3"/>
  <c r="G73" i="12"/>
  <c r="E74" i="12"/>
  <c r="G70" i="6"/>
  <c r="E71" i="6"/>
  <c r="E74" i="3"/>
  <c r="G73" i="3"/>
  <c r="E75" i="12"/>
  <c r="G74" i="12"/>
  <c r="G74" i="13"/>
  <c r="G74" i="2"/>
  <c r="E75" i="2"/>
  <c r="G66" i="11"/>
  <c r="E67" i="11"/>
  <c r="G67" i="1"/>
  <c r="E68" i="1"/>
  <c r="E76" i="2"/>
  <c r="G75" i="2"/>
  <c r="G75" i="13"/>
  <c r="G74" i="3"/>
  <c r="E75" i="3"/>
  <c r="E69" i="1"/>
  <c r="G68" i="1"/>
  <c r="G67" i="11"/>
  <c r="E68" i="11"/>
  <c r="E72" i="6"/>
  <c r="G71" i="6"/>
  <c r="E76" i="12"/>
  <c r="G75" i="12"/>
  <c r="G76" i="12"/>
  <c r="E77" i="12"/>
  <c r="E77" i="2"/>
  <c r="G76" i="2"/>
  <c r="G69" i="1"/>
  <c r="E70" i="1"/>
  <c r="E69" i="11"/>
  <c r="G68" i="11"/>
  <c r="E76" i="3"/>
  <c r="G75" i="3"/>
  <c r="G76" i="13"/>
  <c r="G72" i="6"/>
  <c r="E73" i="6"/>
  <c r="G77" i="13"/>
  <c r="E71" i="1"/>
  <c r="G70" i="1"/>
  <c r="G69" i="11"/>
  <c r="E70" i="11"/>
  <c r="G77" i="12"/>
  <c r="E78" i="12"/>
  <c r="G73" i="6"/>
  <c r="E74" i="6"/>
  <c r="G76" i="3"/>
  <c r="E77" i="3"/>
  <c r="E78" i="2"/>
  <c r="G77" i="2"/>
  <c r="G74" i="6"/>
  <c r="E75" i="6"/>
  <c r="E79" i="2"/>
  <c r="G78" i="2"/>
  <c r="G71" i="1"/>
  <c r="E72" i="1"/>
  <c r="G77" i="3"/>
  <c r="E78" i="3"/>
  <c r="G78" i="12"/>
  <c r="E79" i="12"/>
  <c r="G70" i="11"/>
  <c r="E71" i="11"/>
  <c r="G78" i="13"/>
  <c r="G79" i="12"/>
  <c r="E80" i="12"/>
  <c r="G79" i="2"/>
  <c r="E80" i="2"/>
  <c r="G79" i="13"/>
  <c r="E72" i="11"/>
  <c r="G71" i="11"/>
  <c r="G78" i="3"/>
  <c r="E79" i="3"/>
  <c r="E73" i="1"/>
  <c r="G72" i="1"/>
  <c r="G75" i="6"/>
  <c r="E76" i="6"/>
  <c r="E74" i="1"/>
  <c r="G74" i="1"/>
  <c r="G73" i="1"/>
  <c r="G72" i="11"/>
  <c r="E73" i="11"/>
  <c r="G76" i="6"/>
  <c r="E77" i="6"/>
  <c r="G79" i="3"/>
  <c r="E80" i="3"/>
  <c r="G80" i="12"/>
  <c r="E81" i="12"/>
  <c r="G80" i="13"/>
  <c r="E81" i="2"/>
  <c r="G80" i="2"/>
  <c r="G80" i="3"/>
  <c r="E81" i="3"/>
  <c r="G81" i="2"/>
  <c r="E82" i="2"/>
  <c r="G81" i="12"/>
  <c r="E82" i="12"/>
  <c r="E78" i="6"/>
  <c r="G77" i="6"/>
  <c r="E74" i="11"/>
  <c r="G73" i="11"/>
  <c r="G81" i="13"/>
  <c r="G82" i="13"/>
  <c r="E75" i="11"/>
  <c r="G74" i="11"/>
  <c r="E79" i="6"/>
  <c r="G78" i="6"/>
  <c r="E83" i="12"/>
  <c r="G82" i="12"/>
  <c r="E83" i="2"/>
  <c r="G82" i="2"/>
  <c r="G81" i="3"/>
  <c r="E82" i="3"/>
  <c r="E84" i="2"/>
  <c r="G83" i="2"/>
  <c r="G79" i="6"/>
  <c r="E80" i="6"/>
  <c r="G83" i="12"/>
  <c r="E84" i="12"/>
  <c r="G75" i="11"/>
  <c r="E76" i="11"/>
  <c r="E83" i="3"/>
  <c r="G82" i="3"/>
  <c r="G83" i="13"/>
  <c r="G84" i="13"/>
  <c r="E85" i="12"/>
  <c r="G84" i="12"/>
  <c r="E77" i="11"/>
  <c r="G76" i="11"/>
  <c r="E85" i="2"/>
  <c r="G84" i="2"/>
  <c r="E81" i="6"/>
  <c r="G80" i="6"/>
  <c r="E84" i="3"/>
  <c r="G83" i="3"/>
  <c r="G77" i="11"/>
  <c r="E78" i="11"/>
  <c r="G84" i="3"/>
  <c r="E85" i="3"/>
  <c r="G81" i="6"/>
  <c r="E82" i="6"/>
  <c r="G85" i="2"/>
  <c r="E86" i="2"/>
  <c r="E86" i="12"/>
  <c r="G85" i="12"/>
  <c r="G85" i="13"/>
  <c r="G86" i="13"/>
  <c r="E83" i="6"/>
  <c r="G82" i="6"/>
  <c r="G78" i="11"/>
  <c r="E79" i="11"/>
  <c r="G86" i="12"/>
  <c r="E87" i="12"/>
  <c r="E87" i="2"/>
  <c r="G86" i="2"/>
  <c r="G85" i="3"/>
  <c r="E86" i="3"/>
  <c r="G87" i="2"/>
  <c r="E88" i="2"/>
  <c r="E87" i="3"/>
  <c r="G86" i="3"/>
  <c r="G87" i="12"/>
  <c r="E88" i="12"/>
  <c r="G79" i="11"/>
  <c r="E80" i="11"/>
  <c r="G87" i="13"/>
  <c r="G83" i="6"/>
  <c r="E84" i="6"/>
  <c r="E89" i="12"/>
  <c r="G88" i="12"/>
  <c r="G88" i="13"/>
  <c r="G80" i="11"/>
  <c r="E81" i="11"/>
  <c r="E88" i="3"/>
  <c r="G88" i="3"/>
  <c r="G87" i="3"/>
  <c r="E85" i="6"/>
  <c r="G84" i="6"/>
  <c r="G88" i="2"/>
  <c r="E89" i="2"/>
  <c r="E90" i="2"/>
  <c r="G89" i="2"/>
  <c r="G81" i="11"/>
  <c r="E82" i="11"/>
  <c r="G89" i="13"/>
  <c r="E86" i="6"/>
  <c r="G85" i="6"/>
  <c r="G89" i="12"/>
  <c r="E90" i="12"/>
  <c r="E87" i="6"/>
  <c r="G86" i="6"/>
  <c r="E91" i="2"/>
  <c r="G90" i="2"/>
  <c r="G90" i="12"/>
  <c r="E91" i="12"/>
  <c r="G90" i="13"/>
  <c r="G82" i="11"/>
  <c r="E83" i="11"/>
  <c r="G91" i="13"/>
  <c r="E92" i="2"/>
  <c r="G91" i="2"/>
  <c r="G83" i="11"/>
  <c r="E84" i="11"/>
  <c r="E92" i="12"/>
  <c r="G91" i="12"/>
  <c r="G87" i="6"/>
  <c r="E88" i="6"/>
  <c r="E93" i="12"/>
  <c r="G92" i="12"/>
  <c r="E89" i="6"/>
  <c r="G88" i="6"/>
  <c r="G92" i="2"/>
  <c r="E93" i="2"/>
  <c r="G92" i="13"/>
  <c r="G84" i="11"/>
  <c r="E85" i="11"/>
  <c r="G93" i="13"/>
  <c r="G89" i="6"/>
  <c r="E90" i="6"/>
  <c r="G85" i="11"/>
  <c r="E86" i="11"/>
  <c r="G86" i="11"/>
  <c r="G93" i="12"/>
  <c r="E94" i="12"/>
  <c r="G94" i="12"/>
  <c r="G93" i="2"/>
  <c r="E94" i="2"/>
  <c r="G94" i="2"/>
  <c r="G94" i="13"/>
  <c r="G95" i="13"/>
  <c r="E91" i="6"/>
  <c r="G90" i="6"/>
  <c r="E92" i="6"/>
  <c r="G91" i="6"/>
  <c r="E93" i="6"/>
  <c r="G92" i="6"/>
  <c r="G93" i="6"/>
  <c r="E94" i="6"/>
  <c r="E95" i="6"/>
  <c r="G94" i="6"/>
  <c r="E96" i="6"/>
  <c r="G95" i="6"/>
  <c r="E97" i="6"/>
  <c r="G96" i="6"/>
  <c r="G97" i="6"/>
  <c r="E98" i="6"/>
  <c r="E99" i="6"/>
  <c r="G98" i="6"/>
  <c r="G99" i="6"/>
  <c r="E100" i="6"/>
  <c r="G100" i="6"/>
  <c r="E101" i="6"/>
  <c r="E102" i="6"/>
  <c r="G102" i="6"/>
  <c r="G101" i="6"/>
  <c r="D85" i="3"/>
  <c r="D86" i="3"/>
  <c r="D87" i="3"/>
  <c r="D88" i="3"/>
  <c r="D89" i="3"/>
  <c r="F93" i="3"/>
  <c r="F92" i="3"/>
  <c r="J12" i="8"/>
  <c r="J16" i="8"/>
  <c r="G24" i="8"/>
  <c r="I11" i="7"/>
  <c r="I13" i="7"/>
  <c r="G25" i="7"/>
  <c r="H12" i="5"/>
  <c r="H11" i="5"/>
  <c r="G24" i="5"/>
  <c r="H11" i="4"/>
  <c r="H12" i="4"/>
  <c r="G24" i="4"/>
  <c r="G11" i="15"/>
  <c r="G11" i="18"/>
  <c r="G11" i="17"/>
  <c r="G11" i="16"/>
  <c r="H12" i="18"/>
  <c r="H16" i="18"/>
  <c r="H11" i="18"/>
  <c r="K11" i="17"/>
  <c r="J11" i="17"/>
  <c r="H11" i="16"/>
  <c r="G12" i="16"/>
  <c r="G25" i="8"/>
  <c r="G35" i="8"/>
  <c r="G36" i="8"/>
  <c r="G26" i="8"/>
  <c r="G29" i="8"/>
  <c r="G40" i="8"/>
  <c r="G39" i="8"/>
  <c r="G41" i="8"/>
  <c r="G30" i="8"/>
  <c r="G32" i="8"/>
  <c r="G26" i="5"/>
  <c r="G29" i="5"/>
  <c r="G40" i="5"/>
  <c r="G25" i="5"/>
  <c r="G35" i="5"/>
  <c r="G36" i="5"/>
  <c r="G39" i="5"/>
  <c r="G30" i="5"/>
  <c r="G32" i="5"/>
  <c r="G26" i="7"/>
  <c r="G27" i="7"/>
  <c r="G30" i="7"/>
  <c r="G31" i="7"/>
  <c r="G33" i="7"/>
  <c r="G26" i="4"/>
  <c r="G29" i="4"/>
  <c r="G35" i="4"/>
  <c r="G25" i="4"/>
  <c r="G30" i="4"/>
  <c r="G32" i="4"/>
  <c r="G34" i="4"/>
  <c r="L15" i="14"/>
  <c r="H10" i="17"/>
  <c r="G24" i="15"/>
  <c r="H15" i="15"/>
  <c r="H23" i="15"/>
  <c r="I12" i="18"/>
  <c r="G25" i="18"/>
  <c r="L15" i="17"/>
  <c r="G24" i="17"/>
  <c r="H16" i="16"/>
  <c r="H23" i="16"/>
  <c r="G24" i="16"/>
  <c r="H41" i="8"/>
  <c r="G44" i="8"/>
  <c r="H39" i="8"/>
  <c r="F44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G37" i="7"/>
  <c r="G35" i="7"/>
  <c r="G41" i="5"/>
  <c r="E44" i="5"/>
  <c r="E10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G36" i="4"/>
  <c r="E39" i="4"/>
  <c r="E86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G91" i="14"/>
  <c r="G30" i="14"/>
  <c r="G26" i="15"/>
  <c r="G29" i="15"/>
  <c r="G34" i="15"/>
  <c r="F40" i="15"/>
  <c r="G25" i="15"/>
  <c r="G27" i="18"/>
  <c r="G30" i="18"/>
  <c r="G26" i="18"/>
  <c r="G26" i="17"/>
  <c r="G29" i="17"/>
  <c r="G34" i="17"/>
  <c r="G25" i="17"/>
  <c r="G26" i="16"/>
  <c r="G29" i="16"/>
  <c r="G25" i="16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I44" i="8"/>
  <c r="H44" i="8"/>
  <c r="H45" i="8"/>
  <c r="G80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44" i="8"/>
  <c r="E45" i="8"/>
  <c r="G103" i="5"/>
  <c r="G44" i="5"/>
  <c r="E45" i="5"/>
  <c r="G86" i="4"/>
  <c r="E40" i="4"/>
  <c r="G39" i="4"/>
  <c r="G37" i="14"/>
  <c r="G109" i="15"/>
  <c r="G33" i="15"/>
  <c r="G35" i="15"/>
  <c r="G30" i="15"/>
  <c r="G109" i="18"/>
  <c r="G40" i="18"/>
  <c r="G34" i="18"/>
  <c r="G31" i="18"/>
  <c r="G41" i="18"/>
  <c r="G35" i="18"/>
  <c r="G45" i="18"/>
  <c r="G109" i="17"/>
  <c r="G33" i="17"/>
  <c r="G35" i="17"/>
  <c r="G30" i="17"/>
  <c r="F40" i="17"/>
  <c r="G108" i="16"/>
  <c r="G39" i="16"/>
  <c r="G33" i="16"/>
  <c r="G30" i="16"/>
  <c r="G40" i="16"/>
  <c r="G34" i="16"/>
  <c r="G44" i="16"/>
  <c r="E46" i="8"/>
  <c r="G45" i="8"/>
  <c r="G81" i="8"/>
  <c r="E46" i="5"/>
  <c r="G45" i="5"/>
  <c r="G40" i="4"/>
  <c r="E41" i="4"/>
  <c r="G87" i="14"/>
  <c r="G40" i="14"/>
  <c r="E40" i="15"/>
  <c r="G37" i="15"/>
  <c r="F49" i="18"/>
  <c r="G44" i="18"/>
  <c r="G36" i="18"/>
  <c r="G38" i="18"/>
  <c r="G42" i="18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E40" i="17"/>
  <c r="G37" i="17"/>
  <c r="F48" i="16"/>
  <c r="G43" i="16"/>
  <c r="G35" i="16"/>
  <c r="G37" i="16"/>
  <c r="G41" i="16"/>
  <c r="E47" i="8"/>
  <c r="G46" i="8"/>
  <c r="G82" i="8"/>
  <c r="E47" i="5"/>
  <c r="G46" i="5"/>
  <c r="E42" i="4"/>
  <c r="G41" i="4"/>
  <c r="G41" i="14"/>
  <c r="E41" i="15"/>
  <c r="G40" i="15"/>
  <c r="E63" i="15"/>
  <c r="G63" i="15"/>
  <c r="E49" i="18"/>
  <c r="G46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E41" i="17"/>
  <c r="G40" i="17"/>
  <c r="E87" i="17"/>
  <c r="G87" i="17"/>
  <c r="E48" i="16"/>
  <c r="G45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E48" i="8"/>
  <c r="G47" i="8"/>
  <c r="G83" i="8"/>
  <c r="G47" i="5"/>
  <c r="E48" i="5"/>
  <c r="E43" i="4"/>
  <c r="G42" i="4"/>
  <c r="G42" i="14"/>
  <c r="E42" i="15"/>
  <c r="G41" i="15"/>
  <c r="E50" i="18"/>
  <c r="G49" i="18"/>
  <c r="E96" i="18"/>
  <c r="G96" i="18"/>
  <c r="E42" i="17"/>
  <c r="G41" i="17"/>
  <c r="E49" i="16"/>
  <c r="G48" i="16"/>
  <c r="E71" i="16"/>
  <c r="G71" i="16"/>
  <c r="G48" i="8"/>
  <c r="G84" i="8"/>
  <c r="E49" i="8"/>
  <c r="G48" i="5"/>
  <c r="E49" i="5"/>
  <c r="G43" i="4"/>
  <c r="E44" i="4"/>
  <c r="G43" i="14"/>
  <c r="E43" i="15"/>
  <c r="G42" i="15"/>
  <c r="E51" i="18"/>
  <c r="G50" i="18"/>
  <c r="E43" i="17"/>
  <c r="G42" i="17"/>
  <c r="E50" i="16"/>
  <c r="G49" i="16"/>
  <c r="E50" i="8"/>
  <c r="G49" i="8"/>
  <c r="G85" i="8"/>
  <c r="E50" i="5"/>
  <c r="G49" i="5"/>
  <c r="G44" i="4"/>
  <c r="E45" i="4"/>
  <c r="G44" i="14"/>
  <c r="E44" i="15"/>
  <c r="G43" i="15"/>
  <c r="E52" i="18"/>
  <c r="G51" i="18"/>
  <c r="E44" i="17"/>
  <c r="G43" i="17"/>
  <c r="E51" i="16"/>
  <c r="G50" i="16"/>
  <c r="G50" i="8"/>
  <c r="G86" i="8"/>
  <c r="E51" i="8"/>
  <c r="G50" i="5"/>
  <c r="E51" i="5"/>
  <c r="E46" i="4"/>
  <c r="G45" i="4"/>
  <c r="G45" i="14"/>
  <c r="E45" i="15"/>
  <c r="G44" i="15"/>
  <c r="E53" i="18"/>
  <c r="G52" i="18"/>
  <c r="E45" i="17"/>
  <c r="G44" i="17"/>
  <c r="E52" i="16"/>
  <c r="G51" i="16"/>
  <c r="E52" i="8"/>
  <c r="G51" i="8"/>
  <c r="G87" i="8"/>
  <c r="G51" i="5"/>
  <c r="E52" i="5"/>
  <c r="G46" i="4"/>
  <c r="E47" i="4"/>
  <c r="G46" i="14"/>
  <c r="E46" i="15"/>
  <c r="G45" i="15"/>
  <c r="E54" i="18"/>
  <c r="G53" i="18"/>
  <c r="E46" i="17"/>
  <c r="G45" i="17"/>
  <c r="E53" i="16"/>
  <c r="G52" i="16"/>
  <c r="E53" i="8"/>
  <c r="G52" i="8"/>
  <c r="G88" i="8"/>
  <c r="E53" i="5"/>
  <c r="G52" i="5"/>
  <c r="E48" i="4"/>
  <c r="G47" i="4"/>
  <c r="G47" i="14"/>
  <c r="E47" i="15"/>
  <c r="G46" i="15"/>
  <c r="E55" i="18"/>
  <c r="G54" i="18"/>
  <c r="E47" i="17"/>
  <c r="G46" i="17"/>
  <c r="E54" i="16"/>
  <c r="G53" i="16"/>
  <c r="E54" i="8"/>
  <c r="G53" i="8"/>
  <c r="G89" i="8"/>
  <c r="G53" i="5"/>
  <c r="E54" i="5"/>
  <c r="E49" i="4"/>
  <c r="G48" i="4"/>
  <c r="G48" i="14"/>
  <c r="E48" i="15"/>
  <c r="G47" i="15"/>
  <c r="E56" i="18"/>
  <c r="G55" i="18"/>
  <c r="E48" i="17"/>
  <c r="G47" i="17"/>
  <c r="E55" i="16"/>
  <c r="G54" i="16"/>
  <c r="G54" i="8"/>
  <c r="G90" i="8"/>
  <c r="E55" i="8"/>
  <c r="E55" i="5"/>
  <c r="G54" i="5"/>
  <c r="G49" i="4"/>
  <c r="E50" i="4"/>
  <c r="G49" i="14"/>
  <c r="E49" i="15"/>
  <c r="G48" i="15"/>
  <c r="E57" i="18"/>
  <c r="G56" i="18"/>
  <c r="E49" i="17"/>
  <c r="G48" i="17"/>
  <c r="E56" i="16"/>
  <c r="G55" i="16"/>
  <c r="G55" i="8"/>
  <c r="G91" i="8"/>
  <c r="E56" i="8"/>
  <c r="E56" i="5"/>
  <c r="G55" i="5"/>
  <c r="E51" i="4"/>
  <c r="G50" i="4"/>
  <c r="G50" i="14"/>
  <c r="E50" i="15"/>
  <c r="G49" i="15"/>
  <c r="E58" i="18"/>
  <c r="G57" i="18"/>
  <c r="E50" i="17"/>
  <c r="G49" i="17"/>
  <c r="E57" i="16"/>
  <c r="G56" i="16"/>
  <c r="E57" i="8"/>
  <c r="G56" i="8"/>
  <c r="G92" i="8"/>
  <c r="G56" i="5"/>
  <c r="E57" i="5"/>
  <c r="E52" i="4"/>
  <c r="G51" i="4"/>
  <c r="G51" i="14"/>
  <c r="E51" i="15"/>
  <c r="G50" i="15"/>
  <c r="E59" i="18"/>
  <c r="G58" i="18"/>
  <c r="E51" i="17"/>
  <c r="G50" i="17"/>
  <c r="E58" i="16"/>
  <c r="G57" i="16"/>
  <c r="E58" i="8"/>
  <c r="G57" i="8"/>
  <c r="G93" i="8"/>
  <c r="E58" i="5"/>
  <c r="G57" i="5"/>
  <c r="G52" i="4"/>
  <c r="E53" i="4"/>
  <c r="G52" i="14"/>
  <c r="E52" i="15"/>
  <c r="G51" i="15"/>
  <c r="E60" i="18"/>
  <c r="G59" i="18"/>
  <c r="E52" i="17"/>
  <c r="G51" i="17"/>
  <c r="E59" i="16"/>
  <c r="G58" i="16"/>
  <c r="E59" i="8"/>
  <c r="G58" i="8"/>
  <c r="G94" i="8"/>
  <c r="G58" i="5"/>
  <c r="E59" i="5"/>
  <c r="E54" i="4"/>
  <c r="G53" i="4"/>
  <c r="G53" i="14"/>
  <c r="E53" i="15"/>
  <c r="G52" i="15"/>
  <c r="E61" i="18"/>
  <c r="G60" i="18"/>
  <c r="E53" i="17"/>
  <c r="G52" i="17"/>
  <c r="E60" i="16"/>
  <c r="G59" i="16"/>
  <c r="E60" i="8"/>
  <c r="G59" i="8"/>
  <c r="G95" i="8"/>
  <c r="G59" i="5"/>
  <c r="E60" i="5"/>
  <c r="G54" i="4"/>
  <c r="E55" i="4"/>
  <c r="G54" i="14"/>
  <c r="E54" i="15"/>
  <c r="G53" i="15"/>
  <c r="E62" i="18"/>
  <c r="G61" i="18"/>
  <c r="E54" i="17"/>
  <c r="G53" i="17"/>
  <c r="E61" i="16"/>
  <c r="G60" i="16"/>
  <c r="E61" i="8"/>
  <c r="G60" i="8"/>
  <c r="G96" i="8"/>
  <c r="E61" i="5"/>
  <c r="G60" i="5"/>
  <c r="G55" i="4"/>
  <c r="E56" i="4"/>
  <c r="G55" i="14"/>
  <c r="E55" i="15"/>
  <c r="G54" i="15"/>
  <c r="E63" i="18"/>
  <c r="G62" i="18"/>
  <c r="E55" i="17"/>
  <c r="G54" i="17"/>
  <c r="E62" i="16"/>
  <c r="G61" i="16"/>
  <c r="E62" i="8"/>
  <c r="G61" i="8"/>
  <c r="G97" i="8"/>
  <c r="G61" i="5"/>
  <c r="E62" i="5"/>
  <c r="G56" i="4"/>
  <c r="E57" i="4"/>
  <c r="G56" i="14"/>
  <c r="E56" i="15"/>
  <c r="G55" i="15"/>
  <c r="E64" i="18"/>
  <c r="G63" i="18"/>
  <c r="E56" i="17"/>
  <c r="G55" i="17"/>
  <c r="E63" i="16"/>
  <c r="G62" i="16"/>
  <c r="E63" i="8"/>
  <c r="G62" i="8"/>
  <c r="G98" i="8"/>
  <c r="G62" i="5"/>
  <c r="E63" i="5"/>
  <c r="E58" i="4"/>
  <c r="G57" i="4"/>
  <c r="G57" i="14"/>
  <c r="E57" i="15"/>
  <c r="G56" i="15"/>
  <c r="E65" i="18"/>
  <c r="G64" i="18"/>
  <c r="E57" i="17"/>
  <c r="G56" i="17"/>
  <c r="E64" i="16"/>
  <c r="G63" i="16"/>
  <c r="E64" i="8"/>
  <c r="G63" i="8"/>
  <c r="G99" i="8"/>
  <c r="E64" i="5"/>
  <c r="G63" i="5"/>
  <c r="E59" i="4"/>
  <c r="G58" i="4"/>
  <c r="G58" i="14"/>
  <c r="E58" i="15"/>
  <c r="G57" i="15"/>
  <c r="E66" i="18"/>
  <c r="G65" i="18"/>
  <c r="E58" i="17"/>
  <c r="G57" i="17"/>
  <c r="E65" i="16"/>
  <c r="G64" i="16"/>
  <c r="E65" i="8"/>
  <c r="G64" i="8"/>
  <c r="G100" i="8"/>
  <c r="G64" i="5"/>
  <c r="E65" i="5"/>
  <c r="E60" i="4"/>
  <c r="G59" i="4"/>
  <c r="G59" i="14"/>
  <c r="E59" i="15"/>
  <c r="G58" i="15"/>
  <c r="E67" i="18"/>
  <c r="G66" i="18"/>
  <c r="E59" i="17"/>
  <c r="G58" i="17"/>
  <c r="E66" i="16"/>
  <c r="G65" i="16"/>
  <c r="G65" i="8"/>
  <c r="G101" i="8"/>
  <c r="E66" i="8"/>
  <c r="G65" i="5"/>
  <c r="E66" i="5"/>
  <c r="G60" i="4"/>
  <c r="E61" i="4"/>
  <c r="G60" i="14"/>
  <c r="E60" i="15"/>
  <c r="G59" i="15"/>
  <c r="E68" i="18"/>
  <c r="G67" i="18"/>
  <c r="E60" i="17"/>
  <c r="G59" i="17"/>
  <c r="E67" i="16"/>
  <c r="G66" i="16"/>
  <c r="G66" i="8"/>
  <c r="G102" i="8"/>
  <c r="E67" i="8"/>
  <c r="E67" i="5"/>
  <c r="G66" i="5"/>
  <c r="E62" i="4"/>
  <c r="G61" i="4"/>
  <c r="G61" i="14"/>
  <c r="E61" i="15"/>
  <c r="G60" i="15"/>
  <c r="E69" i="18"/>
  <c r="G68" i="18"/>
  <c r="E61" i="17"/>
  <c r="G60" i="17"/>
  <c r="E68" i="16"/>
  <c r="G67" i="16"/>
  <c r="E68" i="8"/>
  <c r="G67" i="8"/>
  <c r="G103" i="8"/>
  <c r="E103" i="8"/>
  <c r="E68" i="5"/>
  <c r="G67" i="5"/>
  <c r="E63" i="4"/>
  <c r="G62" i="4"/>
  <c r="G62" i="14"/>
  <c r="E62" i="15"/>
  <c r="G62" i="15"/>
  <c r="G61" i="15"/>
  <c r="E70" i="18"/>
  <c r="G69" i="18"/>
  <c r="E62" i="17"/>
  <c r="G61" i="17"/>
  <c r="E69" i="16"/>
  <c r="G68" i="16"/>
  <c r="G68" i="8"/>
  <c r="E69" i="8"/>
  <c r="E69" i="5"/>
  <c r="G68" i="5"/>
  <c r="G63" i="4"/>
  <c r="E64" i="4"/>
  <c r="G63" i="14"/>
  <c r="E71" i="18"/>
  <c r="G70" i="18"/>
  <c r="E63" i="17"/>
  <c r="G62" i="17"/>
  <c r="E70" i="16"/>
  <c r="G70" i="16"/>
  <c r="G69" i="16"/>
  <c r="E70" i="8"/>
  <c r="G69" i="8"/>
  <c r="E70" i="5"/>
  <c r="G69" i="5"/>
  <c r="G64" i="4"/>
  <c r="E65" i="4"/>
  <c r="G64" i="14"/>
  <c r="E72" i="18"/>
  <c r="G71" i="18"/>
  <c r="E64" i="17"/>
  <c r="G63" i="17"/>
  <c r="E71" i="8"/>
  <c r="G70" i="8"/>
  <c r="E71" i="5"/>
  <c r="G70" i="5"/>
  <c r="E66" i="4"/>
  <c r="G65" i="4"/>
  <c r="G65" i="14"/>
  <c r="E73" i="18"/>
  <c r="G72" i="18"/>
  <c r="E65" i="17"/>
  <c r="G64" i="17"/>
  <c r="G71" i="8"/>
  <c r="E72" i="8"/>
  <c r="G71" i="5"/>
  <c r="E72" i="5"/>
  <c r="E67" i="4"/>
  <c r="G66" i="4"/>
  <c r="G66" i="14"/>
  <c r="E74" i="18"/>
  <c r="G73" i="18"/>
  <c r="E66" i="17"/>
  <c r="G65" i="17"/>
  <c r="E73" i="8"/>
  <c r="G72" i="8"/>
  <c r="G72" i="5"/>
  <c r="E73" i="5"/>
  <c r="G67" i="4"/>
  <c r="E68" i="4"/>
  <c r="G67" i="14"/>
  <c r="E75" i="18"/>
  <c r="G74" i="18"/>
  <c r="E67" i="17"/>
  <c r="G66" i="17"/>
  <c r="G73" i="8"/>
  <c r="E74" i="8"/>
  <c r="G73" i="5"/>
  <c r="E74" i="5"/>
  <c r="G68" i="4"/>
  <c r="E69" i="4"/>
  <c r="G68" i="14"/>
  <c r="E76" i="18"/>
  <c r="G75" i="18"/>
  <c r="E68" i="17"/>
  <c r="G67" i="17"/>
  <c r="G74" i="8"/>
  <c r="E75" i="8"/>
  <c r="G74" i="5"/>
  <c r="E75" i="5"/>
  <c r="G69" i="4"/>
  <c r="E70" i="4"/>
  <c r="G69" i="14"/>
  <c r="E77" i="18"/>
  <c r="G76" i="18"/>
  <c r="E69" i="17"/>
  <c r="G68" i="17"/>
  <c r="E76" i="8"/>
  <c r="G75" i="8"/>
  <c r="G75" i="5"/>
  <c r="E76" i="5"/>
  <c r="E71" i="4"/>
  <c r="G70" i="4"/>
  <c r="G70" i="14"/>
  <c r="E78" i="18"/>
  <c r="G77" i="18"/>
  <c r="E70" i="17"/>
  <c r="G69" i="17"/>
  <c r="G76" i="8"/>
  <c r="E77" i="8"/>
  <c r="E77" i="5"/>
  <c r="G76" i="5"/>
  <c r="E72" i="4"/>
  <c r="G71" i="4"/>
  <c r="G71" i="14"/>
  <c r="E79" i="18"/>
  <c r="G78" i="18"/>
  <c r="E71" i="17"/>
  <c r="G70" i="17"/>
  <c r="E78" i="8"/>
  <c r="G77" i="8"/>
  <c r="G77" i="5"/>
  <c r="E78" i="5"/>
  <c r="E73" i="4"/>
  <c r="G72" i="4"/>
  <c r="G72" i="14"/>
  <c r="E80" i="18"/>
  <c r="G79" i="18"/>
  <c r="E72" i="17"/>
  <c r="G71" i="17"/>
  <c r="G78" i="8"/>
  <c r="E79" i="8"/>
  <c r="G79" i="8"/>
  <c r="E79" i="5"/>
  <c r="G78" i="5"/>
  <c r="E74" i="4"/>
  <c r="G73" i="4"/>
  <c r="G73" i="14"/>
  <c r="E81" i="18"/>
  <c r="G80" i="18"/>
  <c r="E73" i="17"/>
  <c r="G72" i="17"/>
  <c r="E80" i="5"/>
  <c r="G79" i="5"/>
  <c r="G74" i="4"/>
  <c r="E75" i="4"/>
  <c r="G74" i="14"/>
  <c r="E82" i="18"/>
  <c r="G81" i="18"/>
  <c r="E74" i="17"/>
  <c r="G73" i="17"/>
  <c r="G80" i="5"/>
  <c r="E81" i="5"/>
  <c r="G75" i="4"/>
  <c r="E76" i="4"/>
  <c r="G75" i="14"/>
  <c r="E83" i="18"/>
  <c r="G82" i="18"/>
  <c r="E75" i="17"/>
  <c r="G74" i="17"/>
  <c r="G81" i="5"/>
  <c r="E82" i="5"/>
  <c r="G76" i="4"/>
  <c r="E77" i="4"/>
  <c r="G76" i="14"/>
  <c r="E84" i="18"/>
  <c r="G83" i="18"/>
  <c r="E76" i="17"/>
  <c r="G75" i="17"/>
  <c r="E83" i="5"/>
  <c r="G82" i="5"/>
  <c r="G77" i="4"/>
  <c r="E78" i="4"/>
  <c r="G77" i="14"/>
  <c r="E85" i="18"/>
  <c r="G84" i="18"/>
  <c r="E77" i="17"/>
  <c r="G76" i="17"/>
  <c r="E84" i="5"/>
  <c r="G83" i="5"/>
  <c r="E79" i="4"/>
  <c r="G78" i="4"/>
  <c r="G78" i="14"/>
  <c r="E86" i="18"/>
  <c r="G85" i="18"/>
  <c r="E78" i="17"/>
  <c r="G77" i="17"/>
  <c r="E85" i="5"/>
  <c r="G84" i="5"/>
  <c r="E80" i="4"/>
  <c r="G79" i="4"/>
  <c r="G79" i="14"/>
  <c r="E87" i="18"/>
  <c r="G86" i="18"/>
  <c r="E79" i="17"/>
  <c r="G78" i="17"/>
  <c r="G85" i="5"/>
  <c r="E86" i="5"/>
  <c r="E81" i="4"/>
  <c r="G80" i="4"/>
  <c r="G80" i="14"/>
  <c r="E88" i="18"/>
  <c r="G87" i="18"/>
  <c r="E80" i="17"/>
  <c r="G79" i="17"/>
  <c r="G86" i="5"/>
  <c r="E87" i="5"/>
  <c r="G81" i="4"/>
  <c r="E82" i="4"/>
  <c r="G81" i="14"/>
  <c r="E89" i="18"/>
  <c r="G88" i="18"/>
  <c r="E81" i="17"/>
  <c r="G80" i="17"/>
  <c r="E88" i="5"/>
  <c r="G87" i="5"/>
  <c r="G82" i="4"/>
  <c r="E83" i="4"/>
  <c r="G82" i="14"/>
  <c r="E90" i="18"/>
  <c r="G89" i="18"/>
  <c r="E82" i="17"/>
  <c r="G81" i="17"/>
  <c r="G88" i="5"/>
  <c r="E89" i="5"/>
  <c r="E84" i="4"/>
  <c r="G83" i="4"/>
  <c r="G83" i="14"/>
  <c r="E91" i="18"/>
  <c r="G90" i="18"/>
  <c r="E83" i="17"/>
  <c r="G82" i="17"/>
  <c r="G89" i="5"/>
  <c r="E90" i="5"/>
  <c r="G84" i="4"/>
  <c r="E85" i="4"/>
  <c r="G85" i="4"/>
  <c r="G84" i="14"/>
  <c r="E92" i="18"/>
  <c r="G91" i="18"/>
  <c r="E84" i="17"/>
  <c r="G83" i="17"/>
  <c r="E91" i="5"/>
  <c r="G90" i="5"/>
  <c r="G86" i="14"/>
  <c r="G85" i="14"/>
  <c r="E93" i="18"/>
  <c r="G92" i="18"/>
  <c r="E85" i="17"/>
  <c r="G84" i="17"/>
  <c r="G91" i="5"/>
  <c r="E92" i="5"/>
  <c r="E94" i="18"/>
  <c r="G93" i="18"/>
  <c r="E86" i="17"/>
  <c r="G86" i="17"/>
  <c r="G85" i="17"/>
  <c r="G92" i="5"/>
  <c r="E93" i="5"/>
  <c r="E95" i="18"/>
  <c r="G95" i="18"/>
  <c r="G94" i="18"/>
  <c r="G93" i="5"/>
  <c r="E94" i="5"/>
  <c r="E95" i="5"/>
  <c r="G94" i="5"/>
  <c r="E96" i="5"/>
  <c r="G95" i="5"/>
  <c r="E97" i="5"/>
  <c r="G96" i="5"/>
  <c r="G97" i="5"/>
  <c r="E98" i="5"/>
  <c r="G98" i="5"/>
  <c r="E99" i="5"/>
  <c r="G99" i="5"/>
  <c r="E100" i="5"/>
  <c r="G100" i="5"/>
  <c r="E101" i="5"/>
  <c r="G101" i="5"/>
  <c r="E102" i="5"/>
  <c r="G102" i="5"/>
</calcChain>
</file>

<file path=xl/comments1.xml><?xml version="1.0" encoding="utf-8"?>
<comments xmlns="http://schemas.openxmlformats.org/spreadsheetml/2006/main">
  <authors>
    <author>AVIDA Vasquez, Judith V.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Kindly fill up data highlighted in yellow, if you want another unit you can do so it will automatically adjust just encode the details.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Don't forget to change selling price of preferred unit.
Just edit this yellow portion and compsheet will adjust on the succeeding payterm (comps. On the other sheet)</t>
        </r>
      </text>
    </comment>
  </commentList>
</comments>
</file>

<file path=xl/comments2.xml><?xml version="1.0" encoding="utf-8"?>
<comments xmlns="http://schemas.openxmlformats.org/spreadsheetml/2006/main">
  <authors>
    <author>AVIDA Vasquez, Judith V.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Kindly fill up data highlighted in yellow, if you want another unit you can do so it will automatically adjust just encode the details.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Don't forget to change selling price of preferred unit.
Just edit this yellow portion and compsheet will adjust on the succeeding payterm (comps. On the other sheet)</t>
        </r>
      </text>
    </comment>
  </commentList>
</comments>
</file>

<file path=xl/comments3.xml><?xml version="1.0" encoding="utf-8"?>
<comments xmlns="http://schemas.openxmlformats.org/spreadsheetml/2006/main">
  <authors>
    <author>AVIDA Vasquez, Judith V.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Kindly fill up data highlighted in yellow, if you want another unit you can do so it will automatically adjust just encode the details.</t>
        </r>
      </text>
    </comment>
  </commentList>
</comments>
</file>

<file path=xl/comments4.xml><?xml version="1.0" encoding="utf-8"?>
<comments xmlns="http://schemas.openxmlformats.org/spreadsheetml/2006/main">
  <authors>
    <author>AVIDA Vasquez, Judith V.</author>
  </authors>
  <commentList>
    <comment ref="F37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DATE TO BE DETERMINED</t>
        </r>
      </text>
    </comment>
  </commentList>
</comments>
</file>

<file path=xl/sharedStrings.xml><?xml version="1.0" encoding="utf-8"?>
<sst xmlns="http://schemas.openxmlformats.org/spreadsheetml/2006/main" count="2194" uniqueCount="188">
  <si>
    <t>AVIDA LAND CORP.</t>
  </si>
  <si>
    <t>CUSTOMER SERVICE UNIT</t>
  </si>
  <si>
    <t>AVIDA TOWERS MAKATI SOUTHPOINT</t>
  </si>
  <si>
    <t xml:space="preserve">SAMPLE COMPUTATION ONLY-PRICES ARE SUBJ. TO CHANGE </t>
  </si>
  <si>
    <t>Tower</t>
  </si>
  <si>
    <t>Unit</t>
  </si>
  <si>
    <t>Floor</t>
  </si>
  <si>
    <t>Floor Area</t>
  </si>
  <si>
    <t>Model</t>
  </si>
  <si>
    <t>1 BR WITH BALCONY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</si>
  <si>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</si>
  <si>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</si>
  <si>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</si>
  <si>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</si>
  <si>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</si>
  <si>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</si>
  <si>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</si>
  <si>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(Complete docs. must be submitted 20 days from RS date)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</si>
  <si>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</si>
  <si>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</si>
  <si>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</si>
  <si>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</si>
  <si>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</si>
  <si>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</si>
  <si>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Discount 2</t>
  </si>
  <si>
    <t>SELLING PRICE AFTER DISCOUNTS</t>
  </si>
  <si>
    <t>Add:</t>
  </si>
  <si>
    <t>Other Charges</t>
  </si>
  <si>
    <t>Service Fee</t>
  </si>
  <si>
    <t>AC Service Fee</t>
  </si>
  <si>
    <t>TOTAL RECEIVABLE</t>
  </si>
  <si>
    <t>DOWNPAYMENT</t>
  </si>
  <si>
    <t>Total Other Charges &amp; Fees</t>
  </si>
  <si>
    <t>TOTAL REQUIRED DOWNPAYMENT</t>
  </si>
  <si>
    <t>Reservation Fee</t>
  </si>
  <si>
    <t>SCHEDULE OF DOWNPAYMENT AND OTHERS CHARGES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</si>
  <si>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</si>
  <si>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</si>
  <si>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</si>
  <si>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</si>
  <si>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</si>
  <si>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</si>
  <si>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</si>
  <si>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</si>
  <si>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</si>
  <si>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</si>
  <si>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</si>
  <si>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</si>
  <si>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</si>
  <si>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</si>
  <si>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</si>
  <si>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</si>
  <si>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</si>
  <si>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</si>
  <si>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</si>
  <si>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</si>
  <si>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</si>
  <si>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</si>
  <si>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</si>
  <si>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</si>
  <si>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</si>
  <si>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22nd Downpayment due on</t>
  </si>
  <si>
    <t>23rd Downpayment due on</t>
  </si>
  <si>
    <t>24th Downpayment due on</t>
  </si>
  <si>
    <t>25th Downpayment due on</t>
  </si>
  <si>
    <t>26th Downpayment due on</t>
  </si>
  <si>
    <t>27th Downpayment due on</t>
  </si>
  <si>
    <t>28th Downpayment due on</t>
  </si>
  <si>
    <t>29th Downpayment due on</t>
  </si>
  <si>
    <t>30th Downpayment due on</t>
  </si>
  <si>
    <t>31st Downpayment due on</t>
  </si>
  <si>
    <t>32nd Downpayment due on</t>
  </si>
  <si>
    <t>33rd Downpayment due on</t>
  </si>
  <si>
    <t>34th Downpayment due on</t>
  </si>
  <si>
    <t>35th Downpayment due on</t>
  </si>
  <si>
    <t>36th Downpayment due on</t>
  </si>
  <si>
    <t>37th Downpayment due on</t>
  </si>
  <si>
    <t>38th Downpayment due on</t>
  </si>
  <si>
    <t>39th Downpayment due on</t>
  </si>
  <si>
    <t>40th Downpayment due on</t>
  </si>
  <si>
    <t>41st Downpayment due on</t>
  </si>
  <si>
    <t>42nd Downpayment due on</t>
  </si>
  <si>
    <t>43rd Downpayment due on</t>
  </si>
  <si>
    <t>44th Downpayment due on</t>
  </si>
  <si>
    <t>45th Downpayment due on</t>
  </si>
  <si>
    <t>46th Downpayment due on</t>
  </si>
  <si>
    <t>47th Downpayment due on</t>
  </si>
  <si>
    <t>48th Downpayment due on</t>
  </si>
  <si>
    <t>49th Downpayment due on</t>
  </si>
  <si>
    <t>50th Downpayment due on</t>
  </si>
  <si>
    <t>51st Downpayment due on</t>
  </si>
  <si>
    <t>52nd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</si>
  <si>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</si>
  <si>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</si>
  <si>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</si>
  <si>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</si>
  <si>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NOTE:</t>
  </si>
  <si>
    <t>1.   In the event of an increase in Other Charges, AVIDA LAND CORP.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</si>
  <si>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</si>
  <si>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</si>
  <si>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</si>
  <si>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</si>
  <si>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</si>
  <si>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</si>
  <si>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</si>
  <si>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</si>
  <si>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AVIDA LAND CORP..</t>
  </si>
  <si>
    <t>Prepared By:</t>
  </si>
  <si>
    <t>Noted By:</t>
  </si>
  <si>
    <t>Signature Over Printed Name</t>
  </si>
  <si>
    <t>Customer Service Staff</t>
  </si>
  <si>
    <t>Customer Service Supervisor / Team Leader</t>
  </si>
  <si>
    <t>Conforme:</t>
  </si>
  <si>
    <t>Purchaser</t>
  </si>
  <si>
    <t>(YOU MAY USE THIS EDITABLE TEMPLATE JUST ENCODE DETAILS IN YELLOW AND IT WILL AUTOMATICALLY CHANGE IN THE SUCCEEDING SHEETS)</t>
  </si>
  <si>
    <t>SAMPLE COMPUTATION ONLY</t>
  </si>
  <si>
    <t>STUDIO</t>
  </si>
  <si>
    <t>1-808</t>
  </si>
  <si>
    <t>Committed Sales Discount</t>
  </si>
  <si>
    <t>(RS from April 23 to May 22, docs. must be submitted 60 days from RS date)</t>
  </si>
  <si>
    <t>(RS from April 23 to May 22, docs. must be submitted on or before May 22)</t>
  </si>
  <si>
    <t>(RS from Mar. 17 to April 13, docs. must be submitted on or before April 13)</t>
  </si>
  <si>
    <t>Total Spot DP and Other Charges payable on or before:</t>
  </si>
  <si>
    <t>53rd Downpayment due on</t>
  </si>
  <si>
    <t>54th Downpayment due on</t>
  </si>
  <si>
    <t>1-1734</t>
  </si>
  <si>
    <t>1 BR W/ BALCONY</t>
  </si>
  <si>
    <t>(RS Jan. 1 to 31, docs. must be submitted on or before Jan. 21)</t>
  </si>
  <si>
    <t>(RS Nov. 23 to Dec. 6, docs. must be submitted on or before Dec. 6)</t>
  </si>
  <si>
    <t>2P</t>
  </si>
  <si>
    <t>COVERED PARKING</t>
  </si>
  <si>
    <t>Local Buyers Discount</t>
  </si>
  <si>
    <t>(10% on TSP, for local buyers only!)</t>
  </si>
  <si>
    <t>10% Discount on Spot 10%</t>
  </si>
  <si>
    <t>(Must be booked on June 25)</t>
  </si>
  <si>
    <t>(RS May 16 to June 20, docs. must be submitted 20 days from RS date)</t>
  </si>
  <si>
    <t>DEFERRED CASH</t>
  </si>
  <si>
    <t>3% Discount on TSP</t>
  </si>
  <si>
    <t>NET SELLING PRICE</t>
  </si>
  <si>
    <t>SCHEDULE OF PAYMENTS</t>
  </si>
  <si>
    <t>2% Discount on TSP</t>
  </si>
  <si>
    <t>(RS Oct. 3 to 23, docs. must be submitted on or before Oct. 23)</t>
  </si>
  <si>
    <t>SCHEDULE OF BALANCE AND DOWNPAYMENT</t>
  </si>
  <si>
    <t>Total Spot DP payable on or before:</t>
  </si>
  <si>
    <t>BALANCE</t>
  </si>
  <si>
    <t>55th Downpayment due on</t>
  </si>
  <si>
    <t>56th Downpayment due on</t>
  </si>
  <si>
    <t>57th Downpayment due on</t>
  </si>
  <si>
    <t>58th Downpayment due on</t>
  </si>
  <si>
    <t>59th Downpayment due on</t>
  </si>
  <si>
    <t>60th Downpayment due on</t>
  </si>
  <si>
    <t>ONE ANTONIO</t>
  </si>
  <si>
    <t>5% Discount on TSP</t>
  </si>
  <si>
    <t>SPOT CASH</t>
  </si>
  <si>
    <t>10% Discount on TSP</t>
  </si>
  <si>
    <t>TOTAL AVIDA RECEIVABLE</t>
  </si>
  <si>
    <t>BALANCE AND DOWNPAYMENT</t>
  </si>
  <si>
    <t>Spot Downpayment of 95% for principal and OC due and payable on:</t>
  </si>
  <si>
    <t>Balance of 5% for principal and OC due and payable on:</t>
  </si>
  <si>
    <t>1.  In the event that there is an increase in the amount of OTHER CHARGES, the SELLER shall have the</t>
  </si>
  <si>
    <t xml:space="preserve">     right to charge the PURCHASER, and the PURCHASER agrees to pay, an amount proportional to or</t>
  </si>
  <si>
    <t xml:space="preserve">     corresponding to the said increase.</t>
  </si>
  <si>
    <t>2.  Discounts are subject to change based on the timing of submission of basic booking documents and payments.</t>
  </si>
  <si>
    <t>3.  All checks should be made payable to AVIDA LAND CORP.</t>
  </si>
  <si>
    <t xml:space="preserve"> 37th Downpayment due on</t>
  </si>
  <si>
    <t xml:space="preserve"> 38th Downpayment due on</t>
  </si>
  <si>
    <t xml:space="preserve"> 39th Downpayment due on</t>
  </si>
  <si>
    <t xml:space="preserve"> 40th Downpayment due on</t>
  </si>
  <si>
    <t xml:space="preserve"> 41st Downpayment due on</t>
  </si>
  <si>
    <t xml:space="preserve"> 42nd Downpayment due on</t>
  </si>
  <si>
    <t xml:space="preserve"> 43rd Downpayment due on</t>
  </si>
  <si>
    <t xml:space="preserve"> 44th Downpayment due on</t>
  </si>
  <si>
    <t xml:space="preserve"> 45th Downpayment due on</t>
  </si>
  <si>
    <t xml:space="preserve"> 46th Downpayment due on</t>
  </si>
  <si>
    <t xml:space="preserve"> 47th Downpayment due on</t>
  </si>
  <si>
    <t xml:space="preserve"> 48th Downpayment due on</t>
  </si>
  <si>
    <t xml:space="preserve"> 49th Downpayment due on</t>
  </si>
  <si>
    <t xml:space="preserve"> 50th Downpayment due on</t>
  </si>
  <si>
    <t xml:space="preserve"> 51st Downpayment due on</t>
  </si>
  <si>
    <t xml:space="preserve"> 52nd Downpayment due on</t>
  </si>
  <si>
    <t xml:space="preserve"> 53rd Downpayment due on</t>
  </si>
  <si>
    <t xml:space="preserve"> 54th Downpayment due on</t>
  </si>
  <si>
    <t xml:space="preserve"> 55th Downpayment due on</t>
  </si>
  <si>
    <t xml:space="preserve"> 56th Downpayment due on</t>
  </si>
  <si>
    <t xml:space="preserve"> 57th Downpayment due on</t>
  </si>
  <si>
    <t xml:space="preserve"> 58th Downpayment due on</t>
  </si>
  <si>
    <t xml:space="preserve"> 59th Downpayment due on</t>
  </si>
  <si>
    <t xml:space="preserve"> 60th Downpayment due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</si>
</sst>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* #,##0.00_);_(* \(#,##0.00\);_(* &quot;-&quot;??_);_(@_)"/>
    <numFmt numFmtId="165" formatCode=";;;"/>
    <numFmt numFmtId="166" formatCode="_(* #,##0.0000_);_(* \(#,##0.0000\);_(* &quot;-&quot;??_);_(@_)"/>
    <numFmt numFmtId="167" formatCode="[$-3409]dd\-mmm\-yy;@"/>
    <numFmt numFmtId="168" formatCode="_(\P* #,##0_);_(\P* \(#,##0\);_(\P* &quot;-&quot;_);_(@_)"/>
    <numFmt numFmtId="169" formatCode="[$-409]dd\-mmm\-yy;@"/>
    <numFmt numFmtId="170" formatCode="_(\P\ * #,##0.00_);_(\P\ * \(#,##0.00\);_(\P\ * &quot;-&quot;??_);_(@_)"/>
    <numFmt numFmtId="171" formatCode="_(\P* #,##0.00_);_(\P* \(#,##0.00\);_(\P* &quot;-&quot;??_);_(@_)"/>
    <numFmt numFmtId="172" formatCode="_(\P\ #,##0.00_);_(\P\ \(#,##0.00\);_(\P\ &quot;-&quot;??_);_(@_)"/>
    <numFmt numFmtId="173" formatCode="_(* #,##0.000000000_);_(* \(#,##0.000000000\);_(* &quot;-&quot;??_);_(@_)"/>
  </numFmts>
  <fonts count="22" x14ac:knownFonts="1">
    <font>
      <sz val="10"/>
      <color indexed="8"/>
      <name val="Courier New"/>
    </font>
    <font>
      <sz val="10"/>
      <color indexed="8"/>
      <name val="Courier New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2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Courier New"/>
    </font>
    <font>
      <sz val="9"/>
      <color indexed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ourier New"/>
      <family val="3"/>
    </font>
    <font>
      <sz val="8"/>
      <name val="Courier New"/>
    </font>
    <font>
      <b/>
      <sz val="10"/>
      <color rgb="FFFF0000"/>
      <name val="Verdana"/>
      <family val="2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</cellStyleXfs>
  <cellXfs count="18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65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14" fontId="7" fillId="0" borderId="0" xfId="0" applyNumberFormat="1" applyFont="1"/>
    <xf numFmtId="0" fontId="6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165" fontId="2" fillId="2" borderId="0" xfId="0" applyNumberFormat="1" applyFont="1" applyFill="1"/>
    <xf numFmtId="164" fontId="6" fillId="2" borderId="8" xfId="0" applyNumberFormat="1" applyFont="1" applyFill="1" applyBorder="1"/>
    <xf numFmtId="0" fontId="6" fillId="0" borderId="0" xfId="0" applyFont="1"/>
    <xf numFmtId="165" fontId="6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 applyAlignment="1">
      <alignment horizontal="center"/>
    </xf>
    <xf numFmtId="167" fontId="2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right"/>
    </xf>
    <xf numFmtId="168" fontId="6" fillId="0" borderId="0" xfId="0" applyNumberFormat="1" applyFont="1"/>
    <xf numFmtId="169" fontId="2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right"/>
    </xf>
    <xf numFmtId="0" fontId="8" fillId="0" borderId="0" xfId="0" applyFont="1"/>
    <xf numFmtId="0" fontId="10" fillId="0" borderId="0" xfId="0" applyFont="1"/>
    <xf numFmtId="0" fontId="2" fillId="0" borderId="9" xfId="0" applyFont="1" applyBorder="1"/>
    <xf numFmtId="0" fontId="2" fillId="0" borderId="0" xfId="3" applyFont="1"/>
    <xf numFmtId="0" fontId="2" fillId="0" borderId="9" xfId="3" applyFont="1" applyBorder="1"/>
    <xf numFmtId="0" fontId="10" fillId="0" borderId="0" xfId="3" applyFont="1"/>
    <xf numFmtId="0" fontId="8" fillId="0" borderId="0" xfId="3" applyFont="1"/>
    <xf numFmtId="164" fontId="2" fillId="0" borderId="0" xfId="3" applyNumberFormat="1" applyFont="1"/>
    <xf numFmtId="171" fontId="6" fillId="0" borderId="0" xfId="3" applyNumberFormat="1" applyFont="1" applyAlignment="1">
      <alignment horizontal="right"/>
    </xf>
    <xf numFmtId="169" fontId="2" fillId="0" borderId="0" xfId="3" applyNumberFormat="1" applyFont="1" applyAlignment="1">
      <alignment horizontal="center"/>
    </xf>
    <xf numFmtId="0" fontId="6" fillId="0" borderId="0" xfId="3" applyFont="1"/>
    <xf numFmtId="168" fontId="6" fillId="0" borderId="0" xfId="3" applyNumberFormat="1" applyFont="1"/>
    <xf numFmtId="167" fontId="2" fillId="0" borderId="0" xfId="3" applyNumberFormat="1" applyFont="1" applyAlignment="1">
      <alignment horizontal="center"/>
    </xf>
    <xf numFmtId="0" fontId="2" fillId="0" borderId="0" xfId="3" applyFont="1" applyAlignment="1">
      <alignment horizontal="right"/>
    </xf>
    <xf numFmtId="0" fontId="9" fillId="0" borderId="0" xfId="3" applyFont="1"/>
    <xf numFmtId="164" fontId="2" fillId="0" borderId="0" xfId="3" applyNumberFormat="1" applyFont="1" applyAlignment="1">
      <alignment horizontal="center"/>
    </xf>
    <xf numFmtId="164" fontId="2" fillId="0" borderId="0" xfId="3" applyNumberFormat="1" applyFont="1" applyAlignment="1">
      <alignment horizontal="right"/>
    </xf>
    <xf numFmtId="167" fontId="2" fillId="0" borderId="0" xfId="3" applyNumberFormat="1" applyFont="1" applyAlignment="1">
      <alignment horizontal="center" vertical="center"/>
    </xf>
    <xf numFmtId="168" fontId="8" fillId="0" borderId="0" xfId="3" applyNumberFormat="1" applyFont="1" applyAlignment="1">
      <alignment horizontal="center" vertical="center" wrapText="1"/>
    </xf>
    <xf numFmtId="167" fontId="8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12" fillId="0" borderId="0" xfId="3" applyFont="1"/>
    <xf numFmtId="172" fontId="6" fillId="0" borderId="8" xfId="3" applyNumberFormat="1" applyFont="1" applyBorder="1"/>
    <xf numFmtId="165" fontId="2" fillId="0" borderId="0" xfId="3" applyNumberFormat="1" applyFont="1"/>
    <xf numFmtId="173" fontId="2" fillId="0" borderId="0" xfId="3" applyNumberFormat="1" applyFont="1"/>
    <xf numFmtId="164" fontId="6" fillId="2" borderId="8" xfId="3" applyNumberFormat="1" applyFont="1" applyFill="1" applyBorder="1"/>
    <xf numFmtId="0" fontId="6" fillId="2" borderId="0" xfId="3" applyFont="1" applyFill="1" applyAlignment="1">
      <alignment horizontal="right"/>
    </xf>
    <xf numFmtId="167" fontId="2" fillId="2" borderId="0" xfId="3" applyNumberFormat="1" applyFont="1" applyFill="1" applyAlignment="1">
      <alignment horizontal="center"/>
    </xf>
    <xf numFmtId="0" fontId="2" fillId="2" borderId="0" xfId="3" applyFont="1" applyFill="1"/>
    <xf numFmtId="0" fontId="6" fillId="2" borderId="0" xfId="3" applyFont="1" applyFill="1"/>
    <xf numFmtId="165" fontId="6" fillId="0" borderId="0" xfId="3" applyNumberFormat="1" applyFont="1"/>
    <xf numFmtId="165" fontId="2" fillId="2" borderId="0" xfId="3" applyNumberFormat="1" applyFont="1" applyFill="1"/>
    <xf numFmtId="164" fontId="6" fillId="0" borderId="0" xfId="3" applyNumberFormat="1" applyFont="1"/>
    <xf numFmtId="0" fontId="6" fillId="0" borderId="0" xfId="3" applyFont="1" applyAlignment="1">
      <alignment horizontal="right"/>
    </xf>
    <xf numFmtId="0" fontId="2" fillId="0" borderId="0" xfId="3" applyFont="1" applyAlignment="1">
      <alignment horizontal="left"/>
    </xf>
    <xf numFmtId="164" fontId="6" fillId="2" borderId="0" xfId="3" applyNumberFormat="1" applyFont="1" applyFill="1" applyAlignment="1">
      <alignment horizontal="right"/>
    </xf>
    <xf numFmtId="0" fontId="2" fillId="2" borderId="0" xfId="3" applyFont="1" applyFill="1" applyAlignment="1">
      <alignment horizontal="left"/>
    </xf>
    <xf numFmtId="2" fontId="7" fillId="0" borderId="0" xfId="3" applyNumberFormat="1" applyFont="1"/>
    <xf numFmtId="0" fontId="2" fillId="0" borderId="7" xfId="3" applyFont="1" applyBorder="1"/>
    <xf numFmtId="0" fontId="2" fillId="0" borderId="6" xfId="3" applyFont="1" applyBorder="1"/>
    <xf numFmtId="165" fontId="2" fillId="0" borderId="5" xfId="3" applyNumberFormat="1" applyFont="1" applyBorder="1"/>
    <xf numFmtId="0" fontId="2" fillId="0" borderId="4" xfId="3" applyFont="1" applyBorder="1"/>
    <xf numFmtId="0" fontId="2" fillId="0" borderId="3" xfId="3" applyFont="1" applyBorder="1"/>
    <xf numFmtId="0" fontId="2" fillId="0" borderId="2" xfId="3" applyFont="1" applyBorder="1"/>
    <xf numFmtId="0" fontId="2" fillId="0" borderId="1" xfId="3" applyFont="1" applyBorder="1"/>
    <xf numFmtId="14" fontId="7" fillId="0" borderId="0" xfId="3" applyNumberFormat="1" applyFont="1"/>
    <xf numFmtId="172" fontId="6" fillId="0" borderId="0" xfId="3" applyNumberFormat="1" applyFont="1"/>
    <xf numFmtId="164" fontId="2" fillId="0" borderId="0" xfId="2" applyFont="1"/>
    <xf numFmtId="0" fontId="6" fillId="2" borderId="0" xfId="3" applyFont="1" applyFill="1" applyProtection="1">
      <protection hidden="1"/>
    </xf>
    <xf numFmtId="0" fontId="12" fillId="0" borderId="0" xfId="3" applyFont="1" applyAlignment="1">
      <alignment horizontal="right"/>
    </xf>
    <xf numFmtId="170" fontId="6" fillId="0" borderId="0" xfId="3" applyNumberFormat="1" applyFont="1"/>
    <xf numFmtId="0" fontId="10" fillId="0" borderId="0" xfId="3" applyFont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17" fillId="0" borderId="6" xfId="3" applyFont="1" applyBorder="1" applyAlignment="1">
      <alignment horizontal="center"/>
    </xf>
    <xf numFmtId="164" fontId="18" fillId="0" borderId="0" xfId="1" applyFont="1"/>
    <xf numFmtId="164" fontId="18" fillId="0" borderId="0" xfId="1" applyFont="1" applyAlignment="1">
      <alignment horizontal="center"/>
    </xf>
    <xf numFmtId="43" fontId="2" fillId="0" borderId="0" xfId="3" applyNumberFormat="1" applyFont="1"/>
    <xf numFmtId="0" fontId="8" fillId="0" borderId="6" xfId="0" applyFont="1" applyBorder="1" applyAlignment="1">
      <alignment horizontal="center"/>
    </xf>
    <xf numFmtId="164" fontId="2" fillId="0" borderId="0" xfId="1" applyFont="1"/>
    <xf numFmtId="0" fontId="6" fillId="0" borderId="6" xfId="3" applyFont="1" applyBorder="1" applyAlignment="1">
      <alignment horizontal="center"/>
    </xf>
    <xf numFmtId="167" fontId="6" fillId="0" borderId="0" xfId="3" applyNumberFormat="1" applyFont="1" applyAlignment="1">
      <alignment horizontal="center"/>
    </xf>
    <xf numFmtId="43" fontId="2" fillId="0" borderId="0" xfId="0" applyNumberFormat="1" applyFont="1"/>
    <xf numFmtId="43" fontId="2" fillId="5" borderId="0" xfId="3" applyNumberFormat="1" applyFont="1" applyFill="1"/>
    <xf numFmtId="167" fontId="6" fillId="6" borderId="0" xfId="3" applyNumberFormat="1" applyFont="1" applyFill="1" applyAlignment="1">
      <alignment horizontal="center"/>
    </xf>
    <xf numFmtId="164" fontId="19" fillId="0" borderId="0" xfId="1" applyFont="1" applyBorder="1"/>
    <xf numFmtId="164" fontId="19" fillId="0" borderId="0" xfId="1" applyFont="1" applyBorder="1" applyAlignment="1">
      <alignment horizontal="center"/>
    </xf>
    <xf numFmtId="0" fontId="2" fillId="0" borderId="0" xfId="0" applyFont="1" applyBorder="1"/>
    <xf numFmtId="167" fontId="6" fillId="0" borderId="0" xfId="0" applyNumberFormat="1" applyFont="1" applyAlignment="1">
      <alignment horizontal="center" vertical="center"/>
    </xf>
    <xf numFmtId="164" fontId="2" fillId="0" borderId="0" xfId="1" applyFont="1" applyFill="1" applyBorder="1"/>
    <xf numFmtId="0" fontId="20" fillId="0" borderId="0" xfId="0" applyFont="1" applyFill="1" applyBorder="1" applyAlignment="1">
      <alignment horizontal="center"/>
    </xf>
    <xf numFmtId="164" fontId="20" fillId="0" borderId="0" xfId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0" fillId="5" borderId="18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/>
    </xf>
    <xf numFmtId="164" fontId="20" fillId="5" borderId="19" xfId="1" applyFont="1" applyFill="1" applyBorder="1" applyAlignment="1">
      <alignment horizontal="center"/>
    </xf>
    <xf numFmtId="0" fontId="20" fillId="5" borderId="20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164" fontId="20" fillId="10" borderId="0" xfId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164" fontId="20" fillId="0" borderId="0" xfId="1" applyFont="1" applyFill="1" applyBorder="1" applyAlignment="1"/>
    <xf numFmtId="0" fontId="20" fillId="0" borderId="0" xfId="0" applyFont="1" applyBorder="1" applyAlignment="1">
      <alignment horizontal="center"/>
    </xf>
    <xf numFmtId="164" fontId="21" fillId="5" borderId="25" xfId="1" applyFont="1" applyFill="1" applyBorder="1" applyAlignment="1"/>
    <xf numFmtId="0" fontId="2" fillId="0" borderId="0" xfId="0" applyFont="1" applyAlignment="1">
      <alignment horizontal="right" indent="2"/>
    </xf>
    <xf numFmtId="0" fontId="6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3" applyFont="1" applyAlignment="1">
      <alignment horizontal="left"/>
    </xf>
    <xf numFmtId="0" fontId="2" fillId="0" borderId="0" xfId="3" applyFont="1" applyAlignment="1">
      <alignment horizontal="right" indent="2"/>
    </xf>
    <xf numFmtId="0" fontId="8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5" borderId="22" xfId="0" applyFont="1" applyFill="1" applyBorder="1" applyAlignment="1">
      <alignment horizontal="center"/>
    </xf>
    <xf numFmtId="164" fontId="20" fillId="0" borderId="0" xfId="1" applyFont="1" applyFill="1" applyBorder="1"/>
    <xf numFmtId="0" fontId="2" fillId="0" borderId="0" xfId="0" applyFont="1" applyAlignment="1">
      <alignment horizontal="right" indent="2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right" indent="2"/>
    </xf>
    <xf numFmtId="0" fontId="10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" fillId="0" borderId="0" xfId="3" applyFont="1" applyAlignment="1">
      <alignment horizontal="left"/>
    </xf>
    <xf numFmtId="0" fontId="2" fillId="0" borderId="0" xfId="3" applyFont="1" applyAlignment="1">
      <alignment horizontal="right" indent="2"/>
    </xf>
    <xf numFmtId="0" fontId="8" fillId="0" borderId="0" xfId="3" applyFont="1" applyAlignment="1">
      <alignment horizontal="center" vertical="center"/>
    </xf>
    <xf numFmtId="0" fontId="3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8" borderId="0" xfId="3" applyFont="1" applyFill="1" applyAlignment="1">
      <alignment horizontal="right" indent="2"/>
    </xf>
    <xf numFmtId="0" fontId="2" fillId="0" borderId="0" xfId="0" quotePrefix="1" applyFont="1" applyAlignment="1">
      <alignment horizontal="right" indent="2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wrapText="1"/>
    </xf>
    <xf numFmtId="0" fontId="15" fillId="5" borderId="11" xfId="0" applyFont="1" applyFill="1" applyBorder="1" applyAlignment="1">
      <alignment horizontal="center" wrapText="1"/>
    </xf>
    <xf numFmtId="0" fontId="15" fillId="5" borderId="12" xfId="0" applyFont="1" applyFill="1" applyBorder="1" applyAlignment="1">
      <alignment horizontal="center" wrapText="1"/>
    </xf>
    <xf numFmtId="0" fontId="15" fillId="5" borderId="13" xfId="0" applyFont="1" applyFill="1" applyBorder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15" fillId="5" borderId="14" xfId="0" applyFont="1" applyFill="1" applyBorder="1" applyAlignment="1">
      <alignment horizontal="center" wrapText="1"/>
    </xf>
    <xf numFmtId="0" fontId="15" fillId="5" borderId="15" xfId="0" applyFont="1" applyFill="1" applyBorder="1" applyAlignment="1">
      <alignment horizontal="center" wrapText="1"/>
    </xf>
    <xf numFmtId="0" fontId="15" fillId="5" borderId="16" xfId="0" applyFont="1" applyFill="1" applyBorder="1" applyAlignment="1">
      <alignment horizontal="center" wrapText="1"/>
    </xf>
    <xf numFmtId="0" fontId="15" fillId="5" borderId="17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2" fillId="9" borderId="0" xfId="3" applyFont="1" applyFill="1" applyAlignment="1">
      <alignment horizontal="right" indent="2"/>
    </xf>
    <xf numFmtId="0" fontId="5" fillId="0" borderId="3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2" fillId="0" borderId="0" xfId="3" quotePrefix="1" applyFont="1" applyAlignment="1">
      <alignment horizontal="right" indent="2"/>
    </xf>
  </cellXfs>
  <cellStyles count="4">
    <cellStyle name="Comma" xfId="1" builtinId="3"/>
    <cellStyle name="Comma 2" xfId="2"/>
    <cellStyle name="Normal" xfId="0" builtinId="0"/>
    <cellStyle name="Normal 2" xfId="3"/>
  </cellStyles>
  <dxfs count="8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8"/>
  <sheetViews>
    <sheetView topLeftCell="A2" workbookViewId="0">
      <selection activeCell="J5" sqref="J5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5" width="12.33203125" style="1"/>
    <col min="6" max="6" width="25.5" style="1" customWidth="1"/>
    <col min="7" max="7" width="18" style="1" customWidth="1"/>
    <col min="8" max="8" width="13.6640625" style="1" hidden="1" customWidth="1"/>
    <col min="9" max="9" width="13.33203125" style="1" hidden="1" customWidth="1"/>
    <col min="10" max="10" width="13.33203125" style="1" bestFit="1" customWidth="1"/>
    <col min="11" max="16384" width="12.33203125" style="1"/>
  </cols>
  <sheetData>
    <row r="1" spans="1:12" ht="14.25" customHeight="1" thickTop="1" x14ac:dyDescent="0.2">
      <c r="A1" s="2"/>
      <c r="B1" s="135" t="s">
        <v>0</v>
      </c>
      <c r="C1" s="135"/>
      <c r="D1" s="135"/>
      <c r="E1" s="135"/>
      <c r="F1" s="135"/>
      <c r="G1" s="3"/>
    </row>
    <row r="2" spans="1:12" ht="14.25" customHeight="1" x14ac:dyDescent="0.15">
      <c r="A2" s="4"/>
      <c r="B2" s="136" t="s">
        <v>1</v>
      </c>
      <c r="C2" s="136"/>
      <c r="D2" s="136"/>
      <c r="E2" s="136"/>
      <c r="F2" s="136"/>
      <c r="G2" s="5"/>
    </row>
    <row r="3" spans="1:12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2" ht="13.5" customHeight="1" thickBot="1" x14ac:dyDescent="0.2">
      <c r="A4" s="6">
        <f>IF(A39&lt;=12,12,A39)</f>
        <v>48</v>
      </c>
      <c r="B4" s="7"/>
      <c r="C4" s="7"/>
      <c r="D4" s="96" t="s">
        <v>3</v>
      </c>
      <c r="E4" s="7"/>
      <c r="F4" s="7"/>
      <c r="G4" s="8"/>
    </row>
    <row r="5" spans="1:12" ht="13.5" customHeight="1" thickTop="1" x14ac:dyDescent="0.15">
      <c r="G5" s="9">
        <v>24</v>
      </c>
    </row>
    <row r="6" spans="1:12" x14ac:dyDescent="0.15">
      <c r="A6" s="123" t="s">
        <v>4</v>
      </c>
      <c r="B6" s="123" t="s">
        <v>5</v>
      </c>
      <c r="C6" s="123" t="s">
        <v>6</v>
      </c>
      <c r="D6" s="123" t="s">
        <v>7</v>
      </c>
      <c r="E6" s="123"/>
      <c r="F6" s="140" t="s">
        <v>8</v>
      </c>
      <c r="G6" s="140"/>
      <c r="H6" s="93"/>
      <c r="I6" s="93"/>
      <c r="J6" s="93"/>
      <c r="K6" s="93"/>
      <c r="L6" s="94"/>
    </row>
    <row r="7" spans="1:12" x14ac:dyDescent="0.15">
      <c r="A7" s="124">
        <v>1</v>
      </c>
      <c r="B7" s="124">
        <v>2034</v>
      </c>
      <c r="C7" s="124">
        <v>20</v>
      </c>
      <c r="D7" s="124">
        <v>38.200000000000003</v>
      </c>
      <c r="E7" s="124"/>
      <c r="F7" s="141" t="s">
        <v>9</v>
      </c>
      <c r="G7" s="141"/>
      <c r="I7" s="97"/>
    </row>
    <row r="8" spans="1:12" ht="12.75" customHeight="1" x14ac:dyDescent="0.15">
      <c r="J8" s="97"/>
    </row>
    <row r="9" spans="1:12" ht="12.75" customHeight="1" x14ac:dyDescent="0.15"/>
    <row r="10" spans="1:12" x14ac:dyDescent="0.15">
      <c r="A10" s="10" t="s">
        <v>10</v>
      </c>
      <c r="B10" s="10"/>
      <c r="C10" s="11"/>
      <c r="D10" s="12"/>
      <c r="E10" s="12"/>
      <c r="F10" s="13" t="s">
        <v>11</v>
      </c>
      <c r="G10" s="91">
        <v>8299200</v>
      </c>
      <c r="H10" s="100">
        <f>G10/1.12</f>
        <v>7409999.9999999991</v>
      </c>
      <c r="I10" s="97">
        <f>205000*38.2</f>
        <v>7831000.0000000009</v>
      </c>
      <c r="J10" s="97"/>
    </row>
    <row r="11" spans="1:12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889200</v>
      </c>
    </row>
    <row r="12" spans="1:12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8"/>
    </row>
    <row r="13" spans="1:12" hidden="1" x14ac:dyDescent="0.15">
      <c r="B13" s="1" t="s">
        <v>14</v>
      </c>
      <c r="G13" s="18">
        <v>0</v>
      </c>
      <c r="I13" s="18"/>
      <c r="J13" s="18"/>
    </row>
    <row r="14" spans="1:12" hidden="1" x14ac:dyDescent="0.15">
      <c r="B14" s="1" t="s">
        <v>15</v>
      </c>
      <c r="G14" s="18">
        <v>0</v>
      </c>
      <c r="I14" s="18"/>
      <c r="J14" s="18"/>
    </row>
    <row r="15" spans="1:12" x14ac:dyDescent="0.15">
      <c r="B15" s="1" t="s">
        <v>16</v>
      </c>
      <c r="D15" s="38" t="s">
        <v>17</v>
      </c>
      <c r="G15" s="18">
        <v>30000</v>
      </c>
      <c r="I15" s="18"/>
    </row>
    <row r="16" spans="1:12" hidden="1" x14ac:dyDescent="0.15">
      <c r="B16" s="1" t="s">
        <v>18</v>
      </c>
      <c r="G16" s="18">
        <v>0</v>
      </c>
      <c r="I16" s="18"/>
    </row>
    <row r="17" spans="1:10" hidden="1" x14ac:dyDescent="0.15">
      <c r="B17" s="1" t="s">
        <v>19</v>
      </c>
      <c r="G17" s="18">
        <v>0</v>
      </c>
      <c r="I17" s="18"/>
    </row>
    <row r="18" spans="1:10" hidden="1" x14ac:dyDescent="0.15">
      <c r="B18" s="1" t="s">
        <v>20</v>
      </c>
      <c r="G18" s="18">
        <v>0</v>
      </c>
      <c r="H18" s="18"/>
      <c r="I18" s="18"/>
      <c r="J18" s="18"/>
    </row>
    <row r="19" spans="1:10" hidden="1" x14ac:dyDescent="0.15">
      <c r="B19" s="1" t="s">
        <v>21</v>
      </c>
      <c r="G19" s="18">
        <v>0</v>
      </c>
      <c r="J19" s="18"/>
    </row>
    <row r="20" spans="1:10" hidden="1" x14ac:dyDescent="0.15">
      <c r="B20" s="1" t="s">
        <v>22</v>
      </c>
      <c r="G20" s="18">
        <v>0</v>
      </c>
      <c r="J20" s="18"/>
    </row>
    <row r="21" spans="1:10" hidden="1" x14ac:dyDescent="0.15">
      <c r="B21" s="1" t="s">
        <v>23</v>
      </c>
      <c r="G21" s="18">
        <v>0</v>
      </c>
      <c r="J21" s="18"/>
    </row>
    <row r="22" spans="1:10" hidden="1" x14ac:dyDescent="0.15">
      <c r="B22" s="1" t="s">
        <v>24</v>
      </c>
      <c r="G22" s="18">
        <v>0</v>
      </c>
      <c r="J22" s="18"/>
    </row>
    <row r="23" spans="1:10" ht="13.5" customHeight="1" thickBot="1" x14ac:dyDescent="0.2">
      <c r="F23" s="15"/>
      <c r="G23" s="19"/>
      <c r="J23" s="18"/>
    </row>
    <row r="24" spans="1:10" ht="13.5" customHeight="1" thickTop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(SellingPrice-G11)-SUM(G12:G22)</f>
        <v>581600</v>
      </c>
    </row>
    <row r="25" spans="1:10" x14ac:dyDescent="0.15">
      <c r="A25" s="1" t="s">
        <v>26</v>
      </c>
      <c r="B25" s="1" t="s">
        <v>13</v>
      </c>
      <c r="G25" s="18">
        <f>ROUND(IF(ISERROR(FIND("PARKING",Model,1)),IF(G24&gt;3199200,G24*12%,0),G24*12%),2)</f>
        <v>69792</v>
      </c>
      <c r="I25" s="18"/>
    </row>
    <row r="26" spans="1:10" hidden="1" x14ac:dyDescent="0.15">
      <c r="A26" s="17">
        <v>7</v>
      </c>
      <c r="B26" s="1" t="s">
        <v>27</v>
      </c>
      <c r="G26" s="18">
        <f>ROUND(G24*(A26/100),2)</f>
        <v>40712</v>
      </c>
    </row>
    <row r="27" spans="1:10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idden="1" x14ac:dyDescent="0.15">
      <c r="A28" s="17"/>
      <c r="B28" s="1" t="s">
        <v>29</v>
      </c>
      <c r="G28" s="18">
        <v>0</v>
      </c>
    </row>
    <row r="29" spans="1:10" ht="13.5" customHeight="1" thickBot="1" x14ac:dyDescent="0.2">
      <c r="A29" s="17"/>
      <c r="B29" s="1" t="s">
        <v>27</v>
      </c>
      <c r="G29" s="18">
        <f>ROUND(SUM(G26,G28,F27),2)</f>
        <v>40712</v>
      </c>
    </row>
    <row r="30" spans="1:10" ht="13.5" customHeight="1" thickTop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692104</v>
      </c>
    </row>
    <row r="31" spans="1:10" ht="12.75" customHeight="1" x14ac:dyDescent="0.15"/>
    <row r="32" spans="1:10" x14ac:dyDescent="0.15">
      <c r="A32" s="22" t="s">
        <v>31</v>
      </c>
    </row>
    <row r="33" spans="1:10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130278.39999999999</v>
      </c>
      <c r="J33" s="18"/>
    </row>
    <row r="34" spans="1:10" ht="13.5" customHeight="1" thickBot="1" x14ac:dyDescent="0.2">
      <c r="A34" s="22"/>
      <c r="B34" s="1" t="s">
        <v>32</v>
      </c>
      <c r="G34" s="18">
        <f>ROUND(G29*(A33/100),2)</f>
        <v>8142.4</v>
      </c>
      <c r="J34" s="24"/>
    </row>
    <row r="35" spans="1:10" ht="13.5" customHeight="1" thickTop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138420.79999999999</v>
      </c>
    </row>
    <row r="36" spans="1:10" ht="13.5" customHeight="1" thickBot="1" x14ac:dyDescent="0.2">
      <c r="A36" s="1" t="s">
        <v>12</v>
      </c>
      <c r="B36" s="1" t="s">
        <v>34</v>
      </c>
      <c r="F36" s="25">
        <f ca="1">NOW()</f>
        <v>44075.451322222223</v>
      </c>
      <c r="G36" s="18">
        <v>20000</v>
      </c>
    </row>
    <row r="37" spans="1:10" ht="13.5" customHeight="1" thickTop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118420.79999999999</v>
      </c>
    </row>
    <row r="38" spans="1:10" x14ac:dyDescent="0.15">
      <c r="A38" s="17">
        <v>0</v>
      </c>
    </row>
    <row r="39" spans="1:10" ht="25.5" customHeight="1" x14ac:dyDescent="0.15">
      <c r="A39" s="27">
        <v>48</v>
      </c>
      <c r="B39" s="142" t="s">
        <v>36</v>
      </c>
      <c r="C39" s="142"/>
      <c r="D39" s="125" t="s">
        <v>37</v>
      </c>
      <c r="E39" s="28" t="s">
        <v>38</v>
      </c>
      <c r="F39" s="29" t="s">
        <v>27</v>
      </c>
      <c r="G39" s="30" t="s">
        <v>39</v>
      </c>
    </row>
    <row r="40" spans="1:10" x14ac:dyDescent="0.15">
      <c r="A40" s="134" t="s">
        <v>40</v>
      </c>
      <c r="B40" s="134"/>
      <c r="C40" s="134"/>
      <c r="D40" s="31">
        <f ca="1">ReservationDate+19</f>
        <v>44094.451322222223</v>
      </c>
      <c r="E40" s="16">
        <f>ROUND((G35-G36-G34)/A39,2)</f>
        <v>2297.4699999999998</v>
      </c>
      <c r="F40" s="32">
        <f>ROUND(SUM(G34:G34)/A39,2)</f>
        <v>169.63</v>
      </c>
      <c r="G40" s="18">
        <f>SUM(E40:F40)</f>
        <v>2467.1</v>
      </c>
    </row>
    <row r="41" spans="1:10" x14ac:dyDescent="0.15">
      <c r="A41" s="134" t="s">
        <v>41</v>
      </c>
      <c r="B41" s="134"/>
      <c r="C41" s="134"/>
      <c r="D41" s="31">
        <v>43572</v>
      </c>
      <c r="E41" s="16">
        <f>IF($A$39&lt;VALUE(LEFT(A41,1))," ",IF($A$39=VALUE(LEFT(A41,1)),($G$35-$G$36-$G$34)-($E$40*($A$39-1)),E40))</f>
        <v>2297.4699999999998</v>
      </c>
      <c r="F41" s="32">
        <f>IF($A$39&lt;VALUE(LEFT(A41,1))," ",IF($A$39=VALUE(LEFT(A41,1)),$G$34-($F$40*($A$39-1)),F40))</f>
        <v>169.63</v>
      </c>
      <c r="G41" s="18">
        <f>IF($A$39&lt;VALUE(LEFT(A41,1))," ",SUM(E41:F41))</f>
        <v>2467.1</v>
      </c>
    </row>
    <row r="42" spans="1:10" x14ac:dyDescent="0.15">
      <c r="A42" s="134" t="s">
        <v>42</v>
      </c>
      <c r="B42" s="134"/>
      <c r="C42" s="134"/>
      <c r="D42" s="31">
        <v>43602</v>
      </c>
      <c r="E42" s="16">
        <f t="shared" ref="E42:E48" si="0">IF($A$39&lt;VALUE(LEFT(A42,1))," ",IF($A$39=VALUE(LEFT(A42,1)),($G$35-$G$36-$G$34)-($E$40*($A$39-1)),E41))</f>
        <v>2297.4699999999998</v>
      </c>
      <c r="F42" s="32">
        <f t="shared" ref="F42:F48" si="1">IF($A$39&lt;VALUE(LEFT(A42,1))," ",IF($A$39=VALUE(LEFT(A42,1)),$G$34-($F$40*($A$39-1)),F41))</f>
        <v>169.63</v>
      </c>
      <c r="G42" s="18">
        <f t="shared" ref="G42:G48" si="2">IF($A$39&lt;VALUE(LEFT(A42,1))," ",SUM(E42:F42))</f>
        <v>2467.1</v>
      </c>
    </row>
    <row r="43" spans="1:10" x14ac:dyDescent="0.15">
      <c r="A43" s="134" t="s">
        <v>43</v>
      </c>
      <c r="B43" s="134"/>
      <c r="C43" s="134"/>
      <c r="D43" s="31">
        <v>43633</v>
      </c>
      <c r="E43" s="16">
        <f t="shared" si="0"/>
        <v>2297.4699999999998</v>
      </c>
      <c r="F43" s="32">
        <f t="shared" si="1"/>
        <v>169.63</v>
      </c>
      <c r="G43" s="18">
        <f t="shared" si="2"/>
        <v>2467.1</v>
      </c>
    </row>
    <row r="44" spans="1:10" x14ac:dyDescent="0.15">
      <c r="A44" s="134" t="s">
        <v>44</v>
      </c>
      <c r="B44" s="134"/>
      <c r="C44" s="134"/>
      <c r="D44" s="31">
        <v>43663</v>
      </c>
      <c r="E44" s="16">
        <f t="shared" si="0"/>
        <v>2297.4699999999998</v>
      </c>
      <c r="F44" s="32">
        <f t="shared" si="1"/>
        <v>169.63</v>
      </c>
      <c r="G44" s="18">
        <f t="shared" si="2"/>
        <v>2467.1</v>
      </c>
    </row>
    <row r="45" spans="1:10" x14ac:dyDescent="0.15">
      <c r="A45" s="134" t="s">
        <v>45</v>
      </c>
      <c r="B45" s="134"/>
      <c r="C45" s="134"/>
      <c r="D45" s="31">
        <v>43694</v>
      </c>
      <c r="E45" s="16">
        <f t="shared" si="0"/>
        <v>2297.4699999999998</v>
      </c>
      <c r="F45" s="32">
        <f t="shared" si="1"/>
        <v>169.63</v>
      </c>
      <c r="G45" s="18">
        <f t="shared" si="2"/>
        <v>2467.1</v>
      </c>
    </row>
    <row r="46" spans="1:10" x14ac:dyDescent="0.15">
      <c r="A46" s="134" t="s">
        <v>46</v>
      </c>
      <c r="B46" s="134"/>
      <c r="C46" s="134"/>
      <c r="D46" s="31">
        <v>43725</v>
      </c>
      <c r="E46" s="16">
        <f t="shared" si="0"/>
        <v>2297.4699999999998</v>
      </c>
      <c r="F46" s="32">
        <f t="shared" si="1"/>
        <v>169.63</v>
      </c>
      <c r="G46" s="18">
        <f t="shared" si="2"/>
        <v>2467.1</v>
      </c>
    </row>
    <row r="47" spans="1:10" x14ac:dyDescent="0.15">
      <c r="A47" s="134" t="s">
        <v>47</v>
      </c>
      <c r="B47" s="134"/>
      <c r="C47" s="134"/>
      <c r="D47" s="31">
        <v>43755</v>
      </c>
      <c r="E47" s="16">
        <f t="shared" si="0"/>
        <v>2297.4699999999998</v>
      </c>
      <c r="F47" s="32">
        <f t="shared" si="1"/>
        <v>169.63</v>
      </c>
      <c r="G47" s="18">
        <f t="shared" si="2"/>
        <v>2467.1</v>
      </c>
    </row>
    <row r="48" spans="1:10" x14ac:dyDescent="0.15">
      <c r="A48" s="134" t="s">
        <v>48</v>
      </c>
      <c r="B48" s="134"/>
      <c r="C48" s="134"/>
      <c r="D48" s="31">
        <v>43786</v>
      </c>
      <c r="E48" s="16">
        <f t="shared" si="0"/>
        <v>2297.4699999999998</v>
      </c>
      <c r="F48" s="32">
        <f t="shared" si="1"/>
        <v>169.63</v>
      </c>
      <c r="G48" s="18">
        <f t="shared" si="2"/>
        <v>2467.1</v>
      </c>
    </row>
    <row r="49" spans="1:7" x14ac:dyDescent="0.15">
      <c r="A49" s="134" t="s">
        <v>49</v>
      </c>
      <c r="B49" s="134"/>
      <c r="C49" s="134"/>
      <c r="D49" s="31">
        <v>43816</v>
      </c>
      <c r="E49" s="16">
        <f>IF($A$39&lt;VALUE(LEFT(A49,2))," ",IF($A$39=VALUE(LEFT(A49,2)),($G$35-$G$36-$G$34)-($E$40*($A$39-1)),E48))</f>
        <v>2297.4699999999998</v>
      </c>
      <c r="F49" s="32">
        <f>IF($A$39&lt;VALUE(LEFT(A49,2))," ",IF($A$39=VALUE(LEFT(A49,2)),$G$34-($F$40*($A$39-1)),F48))</f>
        <v>169.63</v>
      </c>
      <c r="G49" s="18">
        <f>IF($A$39&lt;VALUE(LEFT(A49,2))," ",SUM(E49:F49))</f>
        <v>2467.1</v>
      </c>
    </row>
    <row r="50" spans="1:7" x14ac:dyDescent="0.15">
      <c r="A50" s="134" t="s">
        <v>50</v>
      </c>
      <c r="B50" s="134"/>
      <c r="C50" s="134"/>
      <c r="D50" s="31">
        <v>43847</v>
      </c>
      <c r="E50" s="16">
        <f t="shared" ref="E50:E62" si="3">IF($A$39&lt;VALUE(LEFT(A50,2))," ",IF($A$39=VALUE(LEFT(A50,2)),($G$35-$G$36-$G$34)-($E$40*($A$39-1)),E49))</f>
        <v>2297.4699999999998</v>
      </c>
      <c r="F50" s="32">
        <f t="shared" ref="F50:F62" si="4">IF($A$39&lt;VALUE(LEFT(A50,2))," ",IF($A$39=VALUE(LEFT(A50,2)),$G$34-($F$40*($A$39-1)),F49))</f>
        <v>169.63</v>
      </c>
      <c r="G50" s="18">
        <f t="shared" ref="G50:G62" si="5">IF($A$39&lt;VALUE(LEFT(A50,2))," ",SUM(E50:F50))</f>
        <v>2467.1</v>
      </c>
    </row>
    <row r="51" spans="1:7" x14ac:dyDescent="0.15">
      <c r="A51" s="134" t="s">
        <v>51</v>
      </c>
      <c r="B51" s="134"/>
      <c r="C51" s="134"/>
      <c r="D51" s="31">
        <v>43878</v>
      </c>
      <c r="E51" s="16">
        <f t="shared" si="3"/>
        <v>2297.4699999999998</v>
      </c>
      <c r="F51" s="32">
        <f t="shared" si="4"/>
        <v>169.63</v>
      </c>
      <c r="G51" s="18">
        <f t="shared" si="5"/>
        <v>2467.1</v>
      </c>
    </row>
    <row r="52" spans="1:7" x14ac:dyDescent="0.15">
      <c r="A52" s="134" t="s">
        <v>52</v>
      </c>
      <c r="B52" s="134"/>
      <c r="C52" s="134"/>
      <c r="D52" s="31">
        <v>43907</v>
      </c>
      <c r="E52" s="16">
        <f t="shared" si="3"/>
        <v>2297.4699999999998</v>
      </c>
      <c r="F52" s="32">
        <f t="shared" si="4"/>
        <v>169.63</v>
      </c>
      <c r="G52" s="18">
        <f t="shared" si="5"/>
        <v>2467.1</v>
      </c>
    </row>
    <row r="53" spans="1:7" x14ac:dyDescent="0.15">
      <c r="A53" s="134" t="s">
        <v>53</v>
      </c>
      <c r="B53" s="134"/>
      <c r="C53" s="134"/>
      <c r="D53" s="31">
        <v>43938</v>
      </c>
      <c r="E53" s="16">
        <f t="shared" si="3"/>
        <v>2297.4699999999998</v>
      </c>
      <c r="F53" s="32">
        <f t="shared" si="4"/>
        <v>169.63</v>
      </c>
      <c r="G53" s="18">
        <f t="shared" si="5"/>
        <v>2467.1</v>
      </c>
    </row>
    <row r="54" spans="1:7" x14ac:dyDescent="0.15">
      <c r="A54" s="134" t="s">
        <v>54</v>
      </c>
      <c r="B54" s="134"/>
      <c r="C54" s="134"/>
      <c r="D54" s="31">
        <v>43968</v>
      </c>
      <c r="E54" s="16">
        <f t="shared" si="3"/>
        <v>2297.4699999999998</v>
      </c>
      <c r="F54" s="32">
        <f t="shared" si="4"/>
        <v>169.63</v>
      </c>
      <c r="G54" s="18">
        <f t="shared" si="5"/>
        <v>2467.1</v>
      </c>
    </row>
    <row r="55" spans="1:7" x14ac:dyDescent="0.15">
      <c r="A55" s="134" t="s">
        <v>55</v>
      </c>
      <c r="B55" s="134"/>
      <c r="C55" s="134"/>
      <c r="D55" s="31">
        <v>43999</v>
      </c>
      <c r="E55" s="16">
        <f t="shared" si="3"/>
        <v>2297.4699999999998</v>
      </c>
      <c r="F55" s="32">
        <f t="shared" si="4"/>
        <v>169.63</v>
      </c>
      <c r="G55" s="18">
        <f t="shared" si="5"/>
        <v>2467.1</v>
      </c>
    </row>
    <row r="56" spans="1:7" x14ac:dyDescent="0.15">
      <c r="A56" s="134" t="s">
        <v>56</v>
      </c>
      <c r="B56" s="134"/>
      <c r="C56" s="134"/>
      <c r="D56" s="31">
        <v>44029</v>
      </c>
      <c r="E56" s="16">
        <f t="shared" si="3"/>
        <v>2297.4699999999998</v>
      </c>
      <c r="F56" s="32">
        <f t="shared" si="4"/>
        <v>169.63</v>
      </c>
      <c r="G56" s="18">
        <f t="shared" si="5"/>
        <v>2467.1</v>
      </c>
    </row>
    <row r="57" spans="1:7" x14ac:dyDescent="0.15">
      <c r="A57" s="134" t="s">
        <v>57</v>
      </c>
      <c r="B57" s="134"/>
      <c r="C57" s="134"/>
      <c r="D57" s="31">
        <v>44060</v>
      </c>
      <c r="E57" s="16">
        <f t="shared" si="3"/>
        <v>2297.4699999999998</v>
      </c>
      <c r="F57" s="32">
        <f t="shared" si="4"/>
        <v>169.63</v>
      </c>
      <c r="G57" s="18">
        <f t="shared" si="5"/>
        <v>2467.1</v>
      </c>
    </row>
    <row r="58" spans="1:7" x14ac:dyDescent="0.15">
      <c r="A58" s="134" t="s">
        <v>58</v>
      </c>
      <c r="B58" s="134"/>
      <c r="C58" s="134"/>
      <c r="D58" s="31">
        <v>44091</v>
      </c>
      <c r="E58" s="16">
        <f t="shared" si="3"/>
        <v>2297.4699999999998</v>
      </c>
      <c r="F58" s="32">
        <f t="shared" si="4"/>
        <v>169.63</v>
      </c>
      <c r="G58" s="18">
        <f t="shared" si="5"/>
        <v>2467.1</v>
      </c>
    </row>
    <row r="59" spans="1:7" x14ac:dyDescent="0.15">
      <c r="A59" s="134" t="s">
        <v>59</v>
      </c>
      <c r="B59" s="134"/>
      <c r="C59" s="134"/>
      <c r="D59" s="31">
        <v>44121</v>
      </c>
      <c r="E59" s="16">
        <f t="shared" si="3"/>
        <v>2297.4699999999998</v>
      </c>
      <c r="F59" s="32">
        <f t="shared" si="4"/>
        <v>169.63</v>
      </c>
      <c r="G59" s="18">
        <f t="shared" si="5"/>
        <v>2467.1</v>
      </c>
    </row>
    <row r="60" spans="1:7" x14ac:dyDescent="0.15">
      <c r="A60" s="134" t="s">
        <v>60</v>
      </c>
      <c r="B60" s="134"/>
      <c r="C60" s="134"/>
      <c r="D60" s="31">
        <v>44152</v>
      </c>
      <c r="E60" s="16">
        <f t="shared" si="3"/>
        <v>2297.4699999999998</v>
      </c>
      <c r="F60" s="32">
        <f t="shared" si="4"/>
        <v>169.63</v>
      </c>
      <c r="G60" s="18">
        <f t="shared" si="5"/>
        <v>2467.1</v>
      </c>
    </row>
    <row r="61" spans="1:7" x14ac:dyDescent="0.15">
      <c r="A61" s="134" t="s">
        <v>61</v>
      </c>
      <c r="B61" s="134"/>
      <c r="C61" s="134"/>
      <c r="D61" s="31">
        <v>44182</v>
      </c>
      <c r="E61" s="16">
        <f t="shared" si="3"/>
        <v>2297.4699999999998</v>
      </c>
      <c r="F61" s="32">
        <f t="shared" si="4"/>
        <v>169.63</v>
      </c>
      <c r="G61" s="18">
        <f t="shared" si="5"/>
        <v>2467.1</v>
      </c>
    </row>
    <row r="62" spans="1:7" x14ac:dyDescent="0.15">
      <c r="A62" s="134" t="s">
        <v>62</v>
      </c>
      <c r="B62" s="134"/>
      <c r="C62" s="134"/>
      <c r="D62" s="31">
        <v>44213</v>
      </c>
      <c r="E62" s="16">
        <f t="shared" si="3"/>
        <v>2297.4699999999998</v>
      </c>
      <c r="F62" s="32">
        <f t="shared" si="4"/>
        <v>169.63</v>
      </c>
      <c r="G62" s="18">
        <f t="shared" si="5"/>
        <v>2467.1</v>
      </c>
    </row>
    <row r="63" spans="1:7" x14ac:dyDescent="0.15">
      <c r="A63" s="134" t="s">
        <v>63</v>
      </c>
      <c r="B63" s="134"/>
      <c r="C63" s="134"/>
      <c r="D63" s="31">
        <v>44244</v>
      </c>
      <c r="E63" s="16">
        <f>IF($A$39&lt;VALUE(LEFT(A63,2))," ",IF($A$39=VALUE(LEFT(A63,2)),($G$35-$G$36-$G$34)-($E$40*($A$39-1)),E62))</f>
        <v>2297.4699999999998</v>
      </c>
      <c r="F63" s="32">
        <f>IF($A$39&lt;VALUE(LEFT(A63,2))," ",IF($A$39=VALUE(LEFT(A63,2)),$G$34-($F$40*($A$39-1)),F62))</f>
        <v>169.63</v>
      </c>
      <c r="G63" s="18">
        <f>IF($A$39&lt;VALUE(LEFT(A63,2))," ",SUM(E63:F63))</f>
        <v>2467.1</v>
      </c>
    </row>
    <row r="64" spans="1:7" x14ac:dyDescent="0.15">
      <c r="A64" s="134" t="s">
        <v>64</v>
      </c>
      <c r="B64" s="134"/>
      <c r="C64" s="134"/>
      <c r="D64" s="31">
        <v>44272</v>
      </c>
      <c r="E64" s="16">
        <f t="shared" ref="E64:E73" si="6">IF($A$39&lt;VALUE(LEFT(A64,2))," ",IF($A$39=VALUE(LEFT(A64,2)),($G$35-$G$36-$G$34)-($E$40*($A$39-1)),E63))</f>
        <v>2297.4699999999998</v>
      </c>
      <c r="F64" s="32">
        <f t="shared" ref="F64:F73" si="7">IF($A$39&lt;VALUE(LEFT(A64,2))," ",IF($A$39=VALUE(LEFT(A64,2)),$G$34-($F$40*($A$39-1)),F63))</f>
        <v>169.63</v>
      </c>
      <c r="G64" s="18">
        <f t="shared" ref="G64:G73" si="8">IF($A$39&lt;VALUE(LEFT(A64,2))," ",SUM(E64:F64))</f>
        <v>2467.1</v>
      </c>
    </row>
    <row r="65" spans="1:7" x14ac:dyDescent="0.15">
      <c r="A65" s="134" t="s">
        <v>65</v>
      </c>
      <c r="B65" s="134"/>
      <c r="C65" s="134"/>
      <c r="D65" s="31">
        <v>44303</v>
      </c>
      <c r="E65" s="16">
        <f t="shared" si="6"/>
        <v>2297.4699999999998</v>
      </c>
      <c r="F65" s="32">
        <f t="shared" si="7"/>
        <v>169.63</v>
      </c>
      <c r="G65" s="18">
        <f t="shared" si="8"/>
        <v>2467.1</v>
      </c>
    </row>
    <row r="66" spans="1:7" x14ac:dyDescent="0.15">
      <c r="A66" s="134" t="s">
        <v>66</v>
      </c>
      <c r="B66" s="134"/>
      <c r="C66" s="134"/>
      <c r="D66" s="31">
        <v>44333</v>
      </c>
      <c r="E66" s="16">
        <f t="shared" si="6"/>
        <v>2297.4699999999998</v>
      </c>
      <c r="F66" s="32">
        <f t="shared" si="7"/>
        <v>169.63</v>
      </c>
      <c r="G66" s="18">
        <f t="shared" si="8"/>
        <v>2467.1</v>
      </c>
    </row>
    <row r="67" spans="1:7" x14ac:dyDescent="0.15">
      <c r="A67" s="134" t="s">
        <v>67</v>
      </c>
      <c r="B67" s="134"/>
      <c r="C67" s="134"/>
      <c r="D67" s="31">
        <v>44364</v>
      </c>
      <c r="E67" s="16">
        <f t="shared" si="6"/>
        <v>2297.4699999999998</v>
      </c>
      <c r="F67" s="32">
        <f t="shared" si="7"/>
        <v>169.63</v>
      </c>
      <c r="G67" s="18">
        <f t="shared" si="8"/>
        <v>2467.1</v>
      </c>
    </row>
    <row r="68" spans="1:7" x14ac:dyDescent="0.15">
      <c r="A68" s="134" t="s">
        <v>68</v>
      </c>
      <c r="B68" s="134"/>
      <c r="C68" s="134"/>
      <c r="D68" s="31">
        <v>44394</v>
      </c>
      <c r="E68" s="16">
        <f t="shared" si="6"/>
        <v>2297.4699999999998</v>
      </c>
      <c r="F68" s="32">
        <f t="shared" si="7"/>
        <v>169.63</v>
      </c>
      <c r="G68" s="18">
        <f t="shared" si="8"/>
        <v>2467.1</v>
      </c>
    </row>
    <row r="69" spans="1:7" x14ac:dyDescent="0.15">
      <c r="A69" s="134" t="s">
        <v>69</v>
      </c>
      <c r="B69" s="134"/>
      <c r="C69" s="134"/>
      <c r="D69" s="31">
        <v>44425</v>
      </c>
      <c r="E69" s="16">
        <f t="shared" si="6"/>
        <v>2297.4699999999998</v>
      </c>
      <c r="F69" s="32">
        <f t="shared" si="7"/>
        <v>169.63</v>
      </c>
      <c r="G69" s="18">
        <f t="shared" si="8"/>
        <v>2467.1</v>
      </c>
    </row>
    <row r="70" spans="1:7" x14ac:dyDescent="0.15">
      <c r="A70" s="134" t="s">
        <v>70</v>
      </c>
      <c r="B70" s="134"/>
      <c r="C70" s="134"/>
      <c r="D70" s="31">
        <v>44456</v>
      </c>
      <c r="E70" s="16">
        <f t="shared" si="6"/>
        <v>2297.4699999999998</v>
      </c>
      <c r="F70" s="32">
        <f t="shared" si="7"/>
        <v>169.63</v>
      </c>
      <c r="G70" s="18">
        <f t="shared" si="8"/>
        <v>2467.1</v>
      </c>
    </row>
    <row r="71" spans="1:7" x14ac:dyDescent="0.15">
      <c r="A71" s="134" t="s">
        <v>71</v>
      </c>
      <c r="B71" s="134"/>
      <c r="C71" s="134"/>
      <c r="D71" s="31">
        <v>44486</v>
      </c>
      <c r="E71" s="16">
        <f t="shared" si="6"/>
        <v>2297.4699999999998</v>
      </c>
      <c r="F71" s="32">
        <f t="shared" si="7"/>
        <v>169.63</v>
      </c>
      <c r="G71" s="18">
        <f t="shared" si="8"/>
        <v>2467.1</v>
      </c>
    </row>
    <row r="72" spans="1:7" x14ac:dyDescent="0.15">
      <c r="A72" s="134" t="s">
        <v>72</v>
      </c>
      <c r="B72" s="134"/>
      <c r="C72" s="134"/>
      <c r="D72" s="31">
        <v>44517</v>
      </c>
      <c r="E72" s="16">
        <f t="shared" si="6"/>
        <v>2297.4699999999998</v>
      </c>
      <c r="F72" s="32">
        <f t="shared" si="7"/>
        <v>169.63</v>
      </c>
      <c r="G72" s="18">
        <f t="shared" si="8"/>
        <v>2467.1</v>
      </c>
    </row>
    <row r="73" spans="1:7" x14ac:dyDescent="0.15">
      <c r="A73" s="134" t="s">
        <v>73</v>
      </c>
      <c r="B73" s="134"/>
      <c r="C73" s="134"/>
      <c r="D73" s="31">
        <v>44547</v>
      </c>
      <c r="E73" s="16">
        <f t="shared" si="6"/>
        <v>2297.4699999999998</v>
      </c>
      <c r="F73" s="32">
        <f t="shared" si="7"/>
        <v>169.63</v>
      </c>
      <c r="G73" s="18">
        <f t="shared" si="8"/>
        <v>2467.1</v>
      </c>
    </row>
    <row r="74" spans="1:7" x14ac:dyDescent="0.15">
      <c r="A74" s="134" t="s">
        <v>74</v>
      </c>
      <c r="B74" s="134"/>
      <c r="C74" s="134"/>
      <c r="D74" s="31">
        <v>44578</v>
      </c>
      <c r="E74" s="16">
        <f>IF($A$39&lt;VALUE(LEFT(A74,2))," ",IF($A$39=VALUE(LEFT(A74,2)),($G$35-$G$36-$G$34)-($E$40*($A$39-1)),E73))</f>
        <v>2297.4699999999998</v>
      </c>
      <c r="F74" s="32">
        <f>IF($A$39&lt;VALUE(LEFT(A74,2))," ",IF($A$39=VALUE(LEFT(A74,2)),$G$34-($F$40*($A$39-1)),F73))</f>
        <v>169.63</v>
      </c>
      <c r="G74" s="18">
        <f>IF($A$39&lt;VALUE(LEFT(A74,2))," ",SUM(E74:F74))</f>
        <v>2467.1</v>
      </c>
    </row>
    <row r="75" spans="1:7" x14ac:dyDescent="0.15">
      <c r="A75" s="134" t="s">
        <v>75</v>
      </c>
      <c r="B75" s="134"/>
      <c r="C75" s="134"/>
      <c r="D75" s="31">
        <v>44609</v>
      </c>
      <c r="E75" s="16">
        <f>IF($A$39&lt;VALUE(LEFT(A75,2))," ",IF($A$39=VALUE(LEFT(A75,2)),($G$35-$G$36-$G$34)-($E$40*($A$39-1)),E74))</f>
        <v>2297.4699999999998</v>
      </c>
      <c r="F75" s="32">
        <f>IF($A$39&lt;VALUE(LEFT(A75,2))," ",IF($A$39=VALUE(LEFT(A75,2)),$G$34-($F$40*($A$39-1)),F74))</f>
        <v>169.63</v>
      </c>
      <c r="G75" s="18">
        <f>IF($A$39&lt;VALUE(LEFT(A75,2))," ",SUM(E75:F75))</f>
        <v>2467.1</v>
      </c>
    </row>
    <row r="76" spans="1:7" x14ac:dyDescent="0.15">
      <c r="A76" s="143" t="s">
        <v>76</v>
      </c>
      <c r="B76" s="143"/>
      <c r="C76" s="143"/>
      <c r="D76" s="31">
        <v>44637</v>
      </c>
      <c r="E76" s="16">
        <f t="shared" ref="E76:E91" si="9">IF($A$39&lt;VALUE(LEFT(A76,2))," ",IF($A$39=VALUE(LEFT(A76,2)),($G$35-$G$36-$G$34)-($E$40*($A$39-1)),E75))</f>
        <v>2297.4699999999998</v>
      </c>
      <c r="F76" s="32">
        <f t="shared" ref="F76:F91" si="10">IF($A$39&lt;VALUE(LEFT(A76,2))," ",IF($A$39=VALUE(LEFT(A76,2)),$G$34-($F$40*($A$39-1)),F75))</f>
        <v>169.63</v>
      </c>
      <c r="G76" s="18">
        <f t="shared" ref="G76:G91" si="11">IF($A$39&lt;VALUE(LEFT(A76,2))," ",SUM(E76:F76))</f>
        <v>2467.1</v>
      </c>
    </row>
    <row r="77" spans="1:7" x14ac:dyDescent="0.15">
      <c r="A77" s="143" t="s">
        <v>77</v>
      </c>
      <c r="B77" s="143"/>
      <c r="C77" s="143"/>
      <c r="D77" s="31">
        <v>44668</v>
      </c>
      <c r="E77" s="16">
        <f t="shared" si="9"/>
        <v>2297.4699999999998</v>
      </c>
      <c r="F77" s="32">
        <f t="shared" si="10"/>
        <v>169.63</v>
      </c>
      <c r="G77" s="18">
        <f t="shared" si="11"/>
        <v>2467.1</v>
      </c>
    </row>
    <row r="78" spans="1:7" x14ac:dyDescent="0.15">
      <c r="A78" s="143" t="s">
        <v>78</v>
      </c>
      <c r="B78" s="143"/>
      <c r="C78" s="143"/>
      <c r="D78" s="31">
        <v>44698</v>
      </c>
      <c r="E78" s="16">
        <f t="shared" si="9"/>
        <v>2297.4699999999998</v>
      </c>
      <c r="F78" s="32">
        <f t="shared" si="10"/>
        <v>169.63</v>
      </c>
      <c r="G78" s="18">
        <f t="shared" si="11"/>
        <v>2467.1</v>
      </c>
    </row>
    <row r="79" spans="1:7" x14ac:dyDescent="0.15">
      <c r="A79" s="143" t="s">
        <v>79</v>
      </c>
      <c r="B79" s="143"/>
      <c r="C79" s="143"/>
      <c r="D79" s="31">
        <v>44729</v>
      </c>
      <c r="E79" s="16">
        <f t="shared" si="9"/>
        <v>2297.4699999999998</v>
      </c>
      <c r="F79" s="32">
        <f t="shared" si="10"/>
        <v>169.63</v>
      </c>
      <c r="G79" s="18">
        <f t="shared" si="11"/>
        <v>2467.1</v>
      </c>
    </row>
    <row r="80" spans="1:7" x14ac:dyDescent="0.15">
      <c r="A80" s="143" t="s">
        <v>80</v>
      </c>
      <c r="B80" s="143"/>
      <c r="C80" s="143"/>
      <c r="D80" s="31">
        <v>44759</v>
      </c>
      <c r="E80" s="16">
        <f t="shared" si="9"/>
        <v>2297.4699999999998</v>
      </c>
      <c r="F80" s="32">
        <f t="shared" si="10"/>
        <v>169.63</v>
      </c>
      <c r="G80" s="18">
        <f t="shared" si="11"/>
        <v>2467.1</v>
      </c>
    </row>
    <row r="81" spans="1:7" x14ac:dyDescent="0.15">
      <c r="A81" s="143" t="s">
        <v>81</v>
      </c>
      <c r="B81" s="143"/>
      <c r="C81" s="143"/>
      <c r="D81" s="31">
        <v>44790</v>
      </c>
      <c r="E81" s="16">
        <f t="shared" si="9"/>
        <v>2297.4699999999998</v>
      </c>
      <c r="F81" s="32">
        <f t="shared" si="10"/>
        <v>169.63</v>
      </c>
      <c r="G81" s="18">
        <f t="shared" si="11"/>
        <v>2467.1</v>
      </c>
    </row>
    <row r="82" spans="1:7" x14ac:dyDescent="0.15">
      <c r="A82" s="143" t="s">
        <v>82</v>
      </c>
      <c r="B82" s="143"/>
      <c r="C82" s="143"/>
      <c r="D82" s="31">
        <v>44821</v>
      </c>
      <c r="E82" s="16">
        <f t="shared" si="9"/>
        <v>2297.4699999999998</v>
      </c>
      <c r="F82" s="32">
        <f t="shared" si="10"/>
        <v>169.63</v>
      </c>
      <c r="G82" s="18">
        <f t="shared" si="11"/>
        <v>2467.1</v>
      </c>
    </row>
    <row r="83" spans="1:7" x14ac:dyDescent="0.15">
      <c r="A83" s="143" t="s">
        <v>83</v>
      </c>
      <c r="B83" s="143"/>
      <c r="C83" s="143"/>
      <c r="D83" s="31">
        <v>44851</v>
      </c>
      <c r="E83" s="16">
        <f t="shared" si="9"/>
        <v>2297.4699999999998</v>
      </c>
      <c r="F83" s="32">
        <f t="shared" si="10"/>
        <v>169.63</v>
      </c>
      <c r="G83" s="18">
        <f t="shared" si="11"/>
        <v>2467.1</v>
      </c>
    </row>
    <row r="84" spans="1:7" x14ac:dyDescent="0.15">
      <c r="A84" s="143" t="s">
        <v>84</v>
      </c>
      <c r="B84" s="143"/>
      <c r="C84" s="143"/>
      <c r="D84" s="31">
        <v>44882</v>
      </c>
      <c r="E84" s="16">
        <f t="shared" si="9"/>
        <v>2297.4699999999998</v>
      </c>
      <c r="F84" s="32">
        <f t="shared" si="10"/>
        <v>169.63</v>
      </c>
      <c r="G84" s="18">
        <f t="shared" si="11"/>
        <v>2467.1</v>
      </c>
    </row>
    <row r="85" spans="1:7" x14ac:dyDescent="0.15">
      <c r="A85" s="143" t="s">
        <v>85</v>
      </c>
      <c r="B85" s="143"/>
      <c r="C85" s="143"/>
      <c r="D85" s="31">
        <v>44912</v>
      </c>
      <c r="E85" s="16">
        <f t="shared" si="9"/>
        <v>2297.4699999999998</v>
      </c>
      <c r="F85" s="32">
        <f t="shared" si="10"/>
        <v>169.63</v>
      </c>
      <c r="G85" s="18">
        <f t="shared" si="11"/>
        <v>2467.1</v>
      </c>
    </row>
    <row r="86" spans="1:7" x14ac:dyDescent="0.15">
      <c r="A86" s="143" t="s">
        <v>86</v>
      </c>
      <c r="B86" s="143"/>
      <c r="C86" s="143"/>
      <c r="D86" s="31">
        <v>44943</v>
      </c>
      <c r="E86" s="16">
        <f t="shared" si="9"/>
        <v>2297.4699999999998</v>
      </c>
      <c r="F86" s="32">
        <f t="shared" si="10"/>
        <v>169.63</v>
      </c>
      <c r="G86" s="18">
        <f t="shared" si="11"/>
        <v>2467.1</v>
      </c>
    </row>
    <row r="87" spans="1:7" x14ac:dyDescent="0.15">
      <c r="A87" s="143" t="s">
        <v>87</v>
      </c>
      <c r="B87" s="143"/>
      <c r="C87" s="143"/>
      <c r="D87" s="31">
        <v>44974</v>
      </c>
      <c r="E87" s="16">
        <f t="shared" si="9"/>
        <v>2297.3099999999977</v>
      </c>
      <c r="F87" s="32">
        <f t="shared" si="10"/>
        <v>169.78999999999996</v>
      </c>
      <c r="G87" s="18">
        <f t="shared" si="11"/>
        <v>2467.0999999999976</v>
      </c>
    </row>
    <row r="88" spans="1:7" x14ac:dyDescent="0.15">
      <c r="A88" s="134" t="s">
        <v>88</v>
      </c>
      <c r="B88" s="134"/>
      <c r="C88" s="134"/>
      <c r="D88" s="31"/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4" t="s">
        <v>89</v>
      </c>
      <c r="B89" s="134"/>
      <c r="C89" s="134"/>
      <c r="D89" s="31"/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4" t="s">
        <v>90</v>
      </c>
      <c r="B90" s="134"/>
      <c r="C90" s="134"/>
      <c r="D90" s="31"/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4" t="s">
        <v>91</v>
      </c>
      <c r="B91" s="134"/>
      <c r="C91" s="134"/>
      <c r="D91" s="31"/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2"/>
      <c r="B92" s="122"/>
      <c r="C92" s="122"/>
      <c r="D92" s="31"/>
      <c r="E92" s="16"/>
      <c r="F92" s="32"/>
      <c r="G92" s="18"/>
    </row>
    <row r="93" spans="1:7" hidden="1" x14ac:dyDescent="0.15">
      <c r="A93" s="122"/>
      <c r="B93" s="122"/>
      <c r="C93" s="122"/>
      <c r="D93" s="31"/>
      <c r="E93" s="16"/>
      <c r="F93" s="32"/>
      <c r="G93" s="18"/>
    </row>
    <row r="94" spans="1:7" hidden="1" x14ac:dyDescent="0.15">
      <c r="A94" s="122"/>
      <c r="B94" s="122"/>
      <c r="C94" s="122"/>
      <c r="D94" s="31"/>
      <c r="E94" s="16"/>
      <c r="F94" s="32"/>
      <c r="G94" s="18"/>
    </row>
    <row r="95" spans="1:7" hidden="1" x14ac:dyDescent="0.15">
      <c r="A95" s="122"/>
      <c r="B95" s="122"/>
      <c r="C95" s="122"/>
      <c r="D95" s="31"/>
      <c r="E95" s="16"/>
      <c r="F95" s="32"/>
      <c r="G95" s="18"/>
    </row>
    <row r="96" spans="1:7" hidden="1" x14ac:dyDescent="0.15">
      <c r="A96" s="122"/>
      <c r="B96" s="122"/>
      <c r="C96" s="122"/>
      <c r="D96" s="31"/>
      <c r="E96" s="16"/>
      <c r="F96" s="32"/>
      <c r="G96" s="18"/>
    </row>
    <row r="97" spans="1:9" hidden="1" x14ac:dyDescent="0.15">
      <c r="A97" s="122"/>
      <c r="B97" s="122"/>
      <c r="C97" s="122"/>
      <c r="D97" s="31"/>
      <c r="E97" s="16"/>
      <c r="F97" s="32"/>
      <c r="G97" s="18"/>
    </row>
    <row r="98" spans="1:9" hidden="1" x14ac:dyDescent="0.15">
      <c r="A98" s="122"/>
      <c r="B98" s="122"/>
      <c r="C98" s="122"/>
      <c r="D98" s="31"/>
      <c r="E98" s="16"/>
      <c r="F98" s="32"/>
      <c r="G98" s="18"/>
    </row>
    <row r="99" spans="1:9" hidden="1" x14ac:dyDescent="0.15">
      <c r="A99" s="122"/>
      <c r="B99" s="122"/>
      <c r="C99" s="122"/>
      <c r="D99" s="31"/>
      <c r="E99" s="16"/>
      <c r="F99" s="32"/>
      <c r="G99" s="18"/>
    </row>
    <row r="100" spans="1:9" hidden="1" x14ac:dyDescent="0.15">
      <c r="A100" s="122"/>
      <c r="B100" s="122"/>
      <c r="C100" s="122"/>
      <c r="D100" s="31"/>
      <c r="E100" s="16"/>
      <c r="F100" s="32"/>
      <c r="G100" s="18"/>
    </row>
    <row r="101" spans="1:9" hidden="1" x14ac:dyDescent="0.15">
      <c r="A101" s="122"/>
      <c r="B101" s="122"/>
      <c r="C101" s="122"/>
      <c r="D101" s="31"/>
      <c r="E101" s="16"/>
      <c r="F101" s="32"/>
      <c r="G101" s="18"/>
    </row>
    <row r="102" spans="1:9" hidden="1" x14ac:dyDescent="0.15">
      <c r="A102" s="122"/>
      <c r="B102" s="122"/>
      <c r="C102" s="122"/>
      <c r="D102" s="31"/>
      <c r="E102" s="16"/>
      <c r="F102" s="32"/>
      <c r="G102" s="18"/>
    </row>
    <row r="103" spans="1:9" hidden="1" x14ac:dyDescent="0.15">
      <c r="A103" s="122"/>
      <c r="B103" s="122"/>
      <c r="C103" s="122"/>
      <c r="D103" s="31"/>
      <c r="E103" s="16"/>
      <c r="F103" s="32"/>
      <c r="G103" s="18"/>
    </row>
    <row r="104" spans="1:9" hidden="1" x14ac:dyDescent="0.15">
      <c r="A104" s="122"/>
      <c r="B104" s="122"/>
      <c r="C104" s="122"/>
      <c r="D104" s="31"/>
      <c r="E104" s="16"/>
      <c r="F104" s="32"/>
      <c r="G104" s="18"/>
    </row>
    <row r="105" spans="1:9" hidden="1" x14ac:dyDescent="0.15">
      <c r="A105" s="122"/>
      <c r="B105" s="122"/>
      <c r="C105" s="122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x14ac:dyDescent="0.15">
      <c r="B108" s="1" t="s">
        <v>93</v>
      </c>
      <c r="F108" s="36">
        <f>D82</f>
        <v>44821</v>
      </c>
    </row>
    <row r="109" spans="1:9" x14ac:dyDescent="0.15">
      <c r="B109" s="1" t="s">
        <v>94</v>
      </c>
      <c r="F109" s="36">
        <f>D87+28</f>
        <v>45002</v>
      </c>
      <c r="G109" s="37">
        <f>ROUND(((G24+G25)*((100-A33)/100))+(G29*(100-A33)/100),2)</f>
        <v>553683.19999999995</v>
      </c>
      <c r="I109" s="18"/>
    </row>
    <row r="110" spans="1:9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44" t="s">
        <v>97</v>
      </c>
      <c r="B113" s="144"/>
      <c r="C113" s="144"/>
      <c r="D113" s="144"/>
      <c r="E113" s="144"/>
      <c r="F113" s="144"/>
      <c r="G113" s="144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6" t="s">
        <v>101</v>
      </c>
      <c r="B117" s="39"/>
      <c r="C117" s="39"/>
      <c r="D117" s="39"/>
    </row>
    <row r="118" spans="1:7" x14ac:dyDescent="0.15">
      <c r="A118" s="126" t="s">
        <v>102</v>
      </c>
      <c r="B118" s="39"/>
      <c r="C118" s="39"/>
      <c r="D118" s="39"/>
    </row>
    <row r="119" spans="1:7" x14ac:dyDescent="0.15">
      <c r="A119" s="126" t="s">
        <v>103</v>
      </c>
      <c r="B119" s="39"/>
      <c r="C119" s="39"/>
      <c r="D119" s="39"/>
    </row>
    <row r="120" spans="1:7" x14ac:dyDescent="0.15">
      <c r="A120" s="126" t="s">
        <v>104</v>
      </c>
      <c r="B120" s="39"/>
      <c r="C120" s="39"/>
      <c r="D120" s="39"/>
    </row>
    <row r="121" spans="1:7" x14ac:dyDescent="0.15">
      <c r="A121" s="126" t="s">
        <v>105</v>
      </c>
      <c r="B121" s="39"/>
      <c r="C121" s="39"/>
      <c r="D121" s="39"/>
    </row>
    <row r="122" spans="1:7" x14ac:dyDescent="0.15">
      <c r="A122" s="144" t="s">
        <v>106</v>
      </c>
      <c r="B122" s="144"/>
      <c r="C122" s="144"/>
      <c r="D122" s="144"/>
      <c r="E122" s="144"/>
      <c r="F122" s="144"/>
      <c r="G122" s="144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0">
    <mergeCell ref="A122:G122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13:G113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</mergeCells>
  <conditionalFormatting sqref="B11 B25">
    <cfRule type="expression" dxfId="85" priority="2" stopIfTrue="1">
      <formula>G11=0</formula>
    </cfRule>
  </conditionalFormatting>
  <conditionalFormatting sqref="A41:C48">
    <cfRule type="expression" dxfId="84" priority="3" stopIfTrue="1">
      <formula>VALUE(NoDPSchedule)&lt;VALUE(LEFT(A41,1))</formula>
    </cfRule>
  </conditionalFormatting>
  <conditionalFormatting sqref="A49:C105">
    <cfRule type="expression" dxfId="83" priority="4" stopIfTrue="1">
      <formula>VALUE(NoDPSchedule)&lt;VALUE(LEFT(A49,2))</formula>
    </cfRule>
  </conditionalFormatting>
  <conditionalFormatting sqref="G11 G25">
    <cfRule type="expression" dxfId="82" priority="5" stopIfTrue="1">
      <formula>G11=0</formula>
    </cfRule>
  </conditionalFormatting>
  <conditionalFormatting sqref="D4">
    <cfRule type="expression" dxfId="81" priority="1" stopIfTrue="1">
      <formula>G5&lt;=TODAY()</formula>
    </cfRule>
  </conditionalFormatting>
  <pageMargins left="0.75" right="0.75" top="1" bottom="1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A1:L138"/>
  <sheetViews>
    <sheetView topLeftCell="A5" workbookViewId="0">
      <selection activeCell="L116" sqref="L116"/>
    </sheetView>
  </sheetViews>
  <sheetFormatPr baseColWidth="10" defaultColWidth="12.33203125" defaultRowHeight="12.75" customHeight="1" x14ac:dyDescent="0.15"/>
  <cols>
    <col min="1" max="1" width="12.33203125" style="1"/>
    <col min="2" max="2" width="16.83203125" style="1" customWidth="1"/>
    <col min="3" max="5" width="12.33203125" style="1"/>
    <col min="6" max="6" width="26.33203125" style="1" customWidth="1"/>
    <col min="7" max="7" width="18" style="1" customWidth="1"/>
    <col min="8" max="8" width="13.6640625" style="1" bestFit="1" customWidth="1"/>
    <col min="9" max="9" width="13.33203125" style="1" hidden="1" customWidth="1"/>
    <col min="10" max="10" width="13.33203125" style="1" bestFit="1" customWidth="1"/>
    <col min="11" max="16384" width="12.33203125" style="1"/>
  </cols>
  <sheetData>
    <row r="1" spans="1:12" ht="14.25" customHeight="1" x14ac:dyDescent="0.2">
      <c r="A1" s="2"/>
      <c r="B1" s="135" t="s">
        <v>0</v>
      </c>
      <c r="C1" s="135"/>
      <c r="D1" s="135"/>
      <c r="E1" s="135"/>
      <c r="F1" s="135"/>
      <c r="G1" s="3"/>
    </row>
    <row r="2" spans="1:12" ht="14.25" customHeight="1" x14ac:dyDescent="0.15">
      <c r="A2" s="4"/>
      <c r="B2" s="136" t="s">
        <v>1</v>
      </c>
      <c r="C2" s="136"/>
      <c r="D2" s="136"/>
      <c r="E2" s="136"/>
      <c r="F2" s="136"/>
      <c r="G2" s="5"/>
    </row>
    <row r="3" spans="1:12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2" ht="13.5" customHeight="1" x14ac:dyDescent="0.15">
      <c r="A4" s="6">
        <f>IF(A39&lt;=12,12,A39)</f>
        <v>36</v>
      </c>
      <c r="B4" s="7"/>
      <c r="C4" s="7"/>
      <c r="D4" s="96" t="s">
        <v>115</v>
      </c>
      <c r="E4" s="7"/>
      <c r="F4" s="7"/>
      <c r="G4" s="8"/>
    </row>
    <row r="5" spans="1:12" ht="13.5" customHeight="1" x14ac:dyDescent="0.15">
      <c r="G5" s="9">
        <v>24</v>
      </c>
    </row>
    <row r="6" spans="1:12" ht="13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  <c r="H6" s="93"/>
      <c r="I6" s="93"/>
      <c r="J6" s="93"/>
      <c r="K6" s="93"/>
      <c r="L6" s="94"/>
    </row>
    <row r="7" spans="1:12" ht="13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  <c r="I7" s="97"/>
    </row>
    <row r="8" spans="1:12" ht="12.75" customHeight="1" x14ac:dyDescent="0.15">
      <c r="A8" s="41"/>
      <c r="B8" s="41"/>
      <c r="C8" s="41"/>
      <c r="D8" s="41"/>
      <c r="E8" s="41"/>
      <c r="F8" s="41"/>
      <c r="G8" s="41"/>
      <c r="J8" s="97"/>
    </row>
    <row r="9" spans="1:12" ht="12.75" customHeight="1" x14ac:dyDescent="0.15">
      <c r="A9" s="41"/>
      <c r="B9" s="41"/>
      <c r="C9" s="41"/>
      <c r="D9" s="41"/>
      <c r="E9" s="41"/>
      <c r="F9" s="41"/>
      <c r="G9" s="41"/>
    </row>
    <row r="10" spans="1:12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  <c r="H10" s="97"/>
      <c r="I10" s="97">
        <f>205000*38.2</f>
        <v>7831000.0000000009</v>
      </c>
      <c r="J10" s="97"/>
    </row>
    <row r="11" spans="1:12" ht="13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160800</v>
      </c>
      <c r="H11" s="18"/>
    </row>
    <row r="12" spans="1:12" ht="13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8"/>
    </row>
    <row r="13" spans="1:12" ht="13" hidden="1" x14ac:dyDescent="0.15">
      <c r="B13" s="1" t="s">
        <v>14</v>
      </c>
      <c r="G13" s="18">
        <v>0</v>
      </c>
      <c r="I13" s="18"/>
      <c r="J13" s="18"/>
    </row>
    <row r="14" spans="1:12" ht="13" hidden="1" x14ac:dyDescent="0.15">
      <c r="B14" s="1" t="s">
        <v>15</v>
      </c>
      <c r="G14" s="18">
        <v>0</v>
      </c>
      <c r="I14" s="18"/>
      <c r="J14" s="18"/>
    </row>
    <row r="15" spans="1:12" ht="13" hidden="1" x14ac:dyDescent="0.15">
      <c r="B15" s="1" t="s">
        <v>16</v>
      </c>
      <c r="D15" s="38" t="s">
        <v>17</v>
      </c>
      <c r="G15" s="18"/>
      <c r="H15" s="100"/>
      <c r="I15" s="18"/>
    </row>
    <row r="16" spans="1:12" ht="13" hidden="1" x14ac:dyDescent="0.15">
      <c r="B16" s="1" t="s">
        <v>18</v>
      </c>
      <c r="G16" s="18">
        <v>0</v>
      </c>
      <c r="I16" s="18"/>
    </row>
    <row r="17" spans="1:10" ht="13" hidden="1" x14ac:dyDescent="0.15">
      <c r="B17" s="1" t="s">
        <v>19</v>
      </c>
      <c r="G17" s="18">
        <v>0</v>
      </c>
      <c r="I17" s="18"/>
    </row>
    <row r="18" spans="1:10" ht="13" hidden="1" x14ac:dyDescent="0.15">
      <c r="B18" s="1" t="s">
        <v>20</v>
      </c>
      <c r="G18" s="18">
        <v>0</v>
      </c>
      <c r="H18" s="18"/>
      <c r="I18" s="18"/>
      <c r="J18" s="18"/>
    </row>
    <row r="19" spans="1:10" ht="13" hidden="1" x14ac:dyDescent="0.15">
      <c r="B19" s="1" t="s">
        <v>21</v>
      </c>
      <c r="G19" s="18">
        <v>0</v>
      </c>
      <c r="J19" s="18"/>
    </row>
    <row r="20" spans="1:10" ht="13" hidden="1" x14ac:dyDescent="0.15">
      <c r="B20" s="1" t="s">
        <v>22</v>
      </c>
      <c r="G20" s="18">
        <v>0</v>
      </c>
      <c r="J20" s="18"/>
    </row>
    <row r="21" spans="1:10" ht="13" hidden="1" x14ac:dyDescent="0.15">
      <c r="B21" s="1" t="s">
        <v>23</v>
      </c>
      <c r="G21" s="18">
        <v>0</v>
      </c>
      <c r="J21" s="18"/>
    </row>
    <row r="22" spans="1:10" ht="13" hidden="1" x14ac:dyDescent="0.15">
      <c r="B22" s="1" t="s">
        <v>24</v>
      </c>
      <c r="G22" s="18">
        <v>0</v>
      </c>
      <c r="J22" s="18"/>
    </row>
    <row r="23" spans="1:10" ht="13.5" customHeight="1" x14ac:dyDescent="0.15">
      <c r="F23" s="15"/>
      <c r="G23" s="19"/>
      <c r="J23" s="18"/>
    </row>
    <row r="24" spans="1:10" ht="13.5" customHeight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(SellingPrice-G11)-SUM(G12:G22)</f>
        <v>1340000</v>
      </c>
    </row>
    <row r="25" spans="1:10" ht="13" x14ac:dyDescent="0.15">
      <c r="A25" s="1" t="s">
        <v>26</v>
      </c>
      <c r="B25" s="1" t="s">
        <v>13</v>
      </c>
      <c r="G25" s="18">
        <f>ROUND(IF(ISERROR(FIND("PARKING",Model,1)),IF(G24&gt;3199200,G24*12%,0),G24*12%),2)</f>
        <v>160800</v>
      </c>
      <c r="I25" s="18"/>
    </row>
    <row r="26" spans="1:10" ht="13" hidden="1" x14ac:dyDescent="0.15">
      <c r="A26" s="17">
        <v>7</v>
      </c>
      <c r="B26" s="1" t="s">
        <v>27</v>
      </c>
      <c r="G26" s="18">
        <f>ROUND(G24*(A26/100),2)</f>
        <v>93800</v>
      </c>
    </row>
    <row r="27" spans="1:10" ht="13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t="13" hidden="1" x14ac:dyDescent="0.15">
      <c r="A28" s="17"/>
      <c r="B28" s="1" t="s">
        <v>29</v>
      </c>
      <c r="G28" s="18">
        <v>0</v>
      </c>
    </row>
    <row r="29" spans="1:10" ht="13.5" customHeight="1" x14ac:dyDescent="0.15">
      <c r="A29" s="17"/>
      <c r="B29" s="1" t="s">
        <v>27</v>
      </c>
      <c r="G29" s="18">
        <f>ROUND(SUM(G26,G28,F27),2)</f>
        <v>93800</v>
      </c>
    </row>
    <row r="30" spans="1:10" ht="13.5" customHeight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1594600</v>
      </c>
    </row>
    <row r="32" spans="1:10" ht="13" x14ac:dyDescent="0.15">
      <c r="A32" s="22" t="s">
        <v>31</v>
      </c>
    </row>
    <row r="33" spans="1:10" ht="13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300160</v>
      </c>
      <c r="J33" s="18"/>
    </row>
    <row r="34" spans="1:10" ht="13.5" customHeight="1" x14ac:dyDescent="0.15">
      <c r="A34" s="22"/>
      <c r="B34" s="1" t="s">
        <v>32</v>
      </c>
      <c r="G34" s="18">
        <f>ROUND(G29*(A33/100),2)</f>
        <v>18760</v>
      </c>
      <c r="J34" s="24"/>
    </row>
    <row r="35" spans="1:10" ht="13.5" customHeight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318920</v>
      </c>
    </row>
    <row r="36" spans="1:10" ht="13.5" customHeight="1" x14ac:dyDescent="0.15">
      <c r="A36" s="1" t="s">
        <v>12</v>
      </c>
      <c r="B36" s="1" t="s">
        <v>34</v>
      </c>
      <c r="F36" s="25">
        <f ca="1">NOW()</f>
        <v>44075.451322222223</v>
      </c>
      <c r="G36" s="18">
        <v>20000</v>
      </c>
    </row>
    <row r="37" spans="1:10" ht="13.5" customHeight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298920</v>
      </c>
    </row>
    <row r="38" spans="1:10" ht="13" x14ac:dyDescent="0.15">
      <c r="A38" s="17">
        <v>0</v>
      </c>
    </row>
    <row r="39" spans="1:10" ht="25.5" customHeight="1" x14ac:dyDescent="0.15">
      <c r="A39" s="27">
        <v>36</v>
      </c>
      <c r="B39" s="142" t="s">
        <v>36</v>
      </c>
      <c r="C39" s="142"/>
      <c r="D39" s="125" t="s">
        <v>37</v>
      </c>
      <c r="E39" s="28" t="s">
        <v>38</v>
      </c>
      <c r="F39" s="29" t="s">
        <v>27</v>
      </c>
      <c r="G39" s="30" t="s">
        <v>39</v>
      </c>
    </row>
    <row r="40" spans="1:10" ht="13" x14ac:dyDescent="0.15">
      <c r="A40" s="134" t="s">
        <v>40</v>
      </c>
      <c r="B40" s="134"/>
      <c r="C40" s="134"/>
      <c r="D40" s="31">
        <f ca="1">ReservationDate+30</f>
        <v>44105.451322222223</v>
      </c>
      <c r="E40" s="16">
        <f>ROUND((G35-G36-G34)/A39,2)</f>
        <v>7782.22</v>
      </c>
      <c r="F40" s="32">
        <f>ROUND(SUM(G34:G34)/A39,2)</f>
        <v>521.11</v>
      </c>
      <c r="G40" s="18">
        <f>SUM(E40:F40)</f>
        <v>8303.33</v>
      </c>
    </row>
    <row r="41" spans="1:10" ht="13" x14ac:dyDescent="0.15">
      <c r="A41" s="134" t="s">
        <v>41</v>
      </c>
      <c r="B41" s="134"/>
      <c r="C41" s="134"/>
      <c r="D41" s="31">
        <v>43694</v>
      </c>
      <c r="E41" s="16">
        <f>IF($A$39&lt;VALUE(LEFT(A41,1))," ",IF($A$39=VALUE(LEFT(A41,1)),($G$35-$G$36-$G$34)-($E$40*($A$39-1)),E40))</f>
        <v>7782.22</v>
      </c>
      <c r="F41" s="32">
        <f>IF($A$39&lt;VALUE(LEFT(A41,1))," ",IF($A$39=VALUE(LEFT(A41,1)),$G$34-($F$40*($A$39-1)),F40))</f>
        <v>521.11</v>
      </c>
      <c r="G41" s="18">
        <f>IF($A$39&lt;VALUE(LEFT(A41,1))," ",SUM(E41:F41))</f>
        <v>8303.33</v>
      </c>
    </row>
    <row r="42" spans="1:10" ht="13" x14ac:dyDescent="0.15">
      <c r="A42" s="134" t="s">
        <v>42</v>
      </c>
      <c r="B42" s="134"/>
      <c r="C42" s="134"/>
      <c r="D42" s="31">
        <v>43725</v>
      </c>
      <c r="E42" s="16">
        <f t="shared" ref="E42:E48" si="0">IF($A$39&lt;VALUE(LEFT(A42,1))," ",IF($A$39=VALUE(LEFT(A42,1)),($G$35-$G$36-$G$34)-($E$40*($A$39-1)),E41))</f>
        <v>7782.22</v>
      </c>
      <c r="F42" s="32">
        <f t="shared" ref="F42:F48" si="1">IF($A$39&lt;VALUE(LEFT(A42,1))," ",IF($A$39=VALUE(LEFT(A42,1)),$G$34-($F$40*($A$39-1)),F41))</f>
        <v>521.11</v>
      </c>
      <c r="G42" s="18">
        <f t="shared" ref="G42:G48" si="2">IF($A$39&lt;VALUE(LEFT(A42,1))," ",SUM(E42:F42))</f>
        <v>8303.33</v>
      </c>
    </row>
    <row r="43" spans="1:10" ht="13" x14ac:dyDescent="0.15">
      <c r="A43" s="134" t="s">
        <v>43</v>
      </c>
      <c r="B43" s="134"/>
      <c r="C43" s="134"/>
      <c r="D43" s="31">
        <v>43755</v>
      </c>
      <c r="E43" s="16">
        <f t="shared" si="0"/>
        <v>7782.22</v>
      </c>
      <c r="F43" s="32">
        <f t="shared" si="1"/>
        <v>521.11</v>
      </c>
      <c r="G43" s="18">
        <f t="shared" si="2"/>
        <v>8303.33</v>
      </c>
    </row>
    <row r="44" spans="1:10" ht="13" x14ac:dyDescent="0.15">
      <c r="A44" s="134" t="s">
        <v>44</v>
      </c>
      <c r="B44" s="134"/>
      <c r="C44" s="134"/>
      <c r="D44" s="31">
        <v>43786</v>
      </c>
      <c r="E44" s="16">
        <f t="shared" si="0"/>
        <v>7782.22</v>
      </c>
      <c r="F44" s="32">
        <f t="shared" si="1"/>
        <v>521.11</v>
      </c>
      <c r="G44" s="18">
        <f t="shared" si="2"/>
        <v>8303.33</v>
      </c>
    </row>
    <row r="45" spans="1:10" ht="13" x14ac:dyDescent="0.15">
      <c r="A45" s="134" t="s">
        <v>45</v>
      </c>
      <c r="B45" s="134"/>
      <c r="C45" s="134"/>
      <c r="D45" s="31">
        <v>43816</v>
      </c>
      <c r="E45" s="16">
        <f t="shared" si="0"/>
        <v>7782.22</v>
      </c>
      <c r="F45" s="32">
        <f t="shared" si="1"/>
        <v>521.11</v>
      </c>
      <c r="G45" s="18">
        <f t="shared" si="2"/>
        <v>8303.33</v>
      </c>
    </row>
    <row r="46" spans="1:10" ht="13" x14ac:dyDescent="0.15">
      <c r="A46" s="134" t="s">
        <v>46</v>
      </c>
      <c r="B46" s="134"/>
      <c r="C46" s="134"/>
      <c r="D46" s="31">
        <v>43847</v>
      </c>
      <c r="E46" s="16">
        <f t="shared" si="0"/>
        <v>7782.22</v>
      </c>
      <c r="F46" s="32">
        <f t="shared" si="1"/>
        <v>521.11</v>
      </c>
      <c r="G46" s="18">
        <f t="shared" si="2"/>
        <v>8303.33</v>
      </c>
    </row>
    <row r="47" spans="1:10" ht="13" x14ac:dyDescent="0.15">
      <c r="A47" s="134" t="s">
        <v>47</v>
      </c>
      <c r="B47" s="134"/>
      <c r="C47" s="134"/>
      <c r="D47" s="31">
        <v>43878</v>
      </c>
      <c r="E47" s="16">
        <f t="shared" si="0"/>
        <v>7782.22</v>
      </c>
      <c r="F47" s="32">
        <f t="shared" si="1"/>
        <v>521.11</v>
      </c>
      <c r="G47" s="18">
        <f t="shared" si="2"/>
        <v>8303.33</v>
      </c>
    </row>
    <row r="48" spans="1:10" ht="13" x14ac:dyDescent="0.15">
      <c r="A48" s="134" t="s">
        <v>48</v>
      </c>
      <c r="B48" s="134"/>
      <c r="C48" s="134"/>
      <c r="D48" s="31">
        <v>43907</v>
      </c>
      <c r="E48" s="16">
        <f t="shared" si="0"/>
        <v>7782.22</v>
      </c>
      <c r="F48" s="32">
        <f t="shared" si="1"/>
        <v>521.11</v>
      </c>
      <c r="G48" s="18">
        <f t="shared" si="2"/>
        <v>8303.33</v>
      </c>
    </row>
    <row r="49" spans="1:7" ht="13" x14ac:dyDescent="0.15">
      <c r="A49" s="134" t="s">
        <v>49</v>
      </c>
      <c r="B49" s="134"/>
      <c r="C49" s="134"/>
      <c r="D49" s="31">
        <v>43938</v>
      </c>
      <c r="E49" s="16">
        <f>IF($A$39&lt;VALUE(LEFT(A49,2))," ",IF($A$39=VALUE(LEFT(A49,2)),($G$35-$G$36-$G$34)-($E$40*($A$39-1)),E48))</f>
        <v>7782.22</v>
      </c>
      <c r="F49" s="32">
        <f>IF($A$39&lt;VALUE(LEFT(A49,2))," ",IF($A$39=VALUE(LEFT(A49,2)),$G$34-($F$40*($A$39-1)),F48))</f>
        <v>521.11</v>
      </c>
      <c r="G49" s="18">
        <f>IF($A$39&lt;VALUE(LEFT(A49,2))," ",SUM(E49:F49))</f>
        <v>8303.33</v>
      </c>
    </row>
    <row r="50" spans="1:7" ht="13" x14ac:dyDescent="0.15">
      <c r="A50" s="134" t="s">
        <v>50</v>
      </c>
      <c r="B50" s="134"/>
      <c r="C50" s="134"/>
      <c r="D50" s="31">
        <v>43968</v>
      </c>
      <c r="E50" s="16">
        <f t="shared" ref="E50:E62" si="3">IF($A$39&lt;VALUE(LEFT(A50,2))," ",IF($A$39=VALUE(LEFT(A50,2)),($G$35-$G$36-$G$34)-($E$40*($A$39-1)),E49))</f>
        <v>7782.22</v>
      </c>
      <c r="F50" s="32">
        <f t="shared" ref="F50:F62" si="4">IF($A$39&lt;VALUE(LEFT(A50,2))," ",IF($A$39=VALUE(LEFT(A50,2)),$G$34-($F$40*($A$39-1)),F49))</f>
        <v>521.11</v>
      </c>
      <c r="G50" s="18">
        <f t="shared" ref="G50:G62" si="5">IF($A$39&lt;VALUE(LEFT(A50,2))," ",SUM(E50:F50))</f>
        <v>8303.33</v>
      </c>
    </row>
    <row r="51" spans="1:7" ht="13" x14ac:dyDescent="0.15">
      <c r="A51" s="134" t="s">
        <v>51</v>
      </c>
      <c r="B51" s="134"/>
      <c r="C51" s="134"/>
      <c r="D51" s="31">
        <v>43999</v>
      </c>
      <c r="E51" s="16">
        <f t="shared" si="3"/>
        <v>7782.22</v>
      </c>
      <c r="F51" s="32">
        <f t="shared" si="4"/>
        <v>521.11</v>
      </c>
      <c r="G51" s="18">
        <f t="shared" si="5"/>
        <v>8303.33</v>
      </c>
    </row>
    <row r="52" spans="1:7" ht="13" x14ac:dyDescent="0.15">
      <c r="A52" s="134" t="s">
        <v>52</v>
      </c>
      <c r="B52" s="134"/>
      <c r="C52" s="134"/>
      <c r="D52" s="31">
        <v>44029</v>
      </c>
      <c r="E52" s="16">
        <f t="shared" si="3"/>
        <v>7782.22</v>
      </c>
      <c r="F52" s="32">
        <f t="shared" si="4"/>
        <v>521.11</v>
      </c>
      <c r="G52" s="18">
        <f t="shared" si="5"/>
        <v>8303.33</v>
      </c>
    </row>
    <row r="53" spans="1:7" ht="13" x14ac:dyDescent="0.15">
      <c r="A53" s="134" t="s">
        <v>53</v>
      </c>
      <c r="B53" s="134"/>
      <c r="C53" s="134"/>
      <c r="D53" s="31">
        <v>44060</v>
      </c>
      <c r="E53" s="16">
        <f t="shared" si="3"/>
        <v>7782.22</v>
      </c>
      <c r="F53" s="32">
        <f t="shared" si="4"/>
        <v>521.11</v>
      </c>
      <c r="G53" s="18">
        <f t="shared" si="5"/>
        <v>8303.33</v>
      </c>
    </row>
    <row r="54" spans="1:7" ht="13" x14ac:dyDescent="0.15">
      <c r="A54" s="134" t="s">
        <v>54</v>
      </c>
      <c r="B54" s="134"/>
      <c r="C54" s="134"/>
      <c r="D54" s="31">
        <v>44091</v>
      </c>
      <c r="E54" s="16">
        <f t="shared" si="3"/>
        <v>7782.22</v>
      </c>
      <c r="F54" s="32">
        <f t="shared" si="4"/>
        <v>521.11</v>
      </c>
      <c r="G54" s="18">
        <f t="shared" si="5"/>
        <v>8303.33</v>
      </c>
    </row>
    <row r="55" spans="1:7" ht="13" x14ac:dyDescent="0.15">
      <c r="A55" s="134" t="s">
        <v>55</v>
      </c>
      <c r="B55" s="134"/>
      <c r="C55" s="134"/>
      <c r="D55" s="31">
        <v>44121</v>
      </c>
      <c r="E55" s="16">
        <f t="shared" si="3"/>
        <v>7782.22</v>
      </c>
      <c r="F55" s="32">
        <f t="shared" si="4"/>
        <v>521.11</v>
      </c>
      <c r="G55" s="18">
        <f t="shared" si="5"/>
        <v>8303.33</v>
      </c>
    </row>
    <row r="56" spans="1:7" ht="13" x14ac:dyDescent="0.15">
      <c r="A56" s="134" t="s">
        <v>56</v>
      </c>
      <c r="B56" s="134"/>
      <c r="C56" s="134"/>
      <c r="D56" s="31">
        <v>44152</v>
      </c>
      <c r="E56" s="16">
        <f t="shared" si="3"/>
        <v>7782.22</v>
      </c>
      <c r="F56" s="32">
        <f t="shared" si="4"/>
        <v>521.11</v>
      </c>
      <c r="G56" s="18">
        <f t="shared" si="5"/>
        <v>8303.33</v>
      </c>
    </row>
    <row r="57" spans="1:7" ht="13" x14ac:dyDescent="0.15">
      <c r="A57" s="134" t="s">
        <v>57</v>
      </c>
      <c r="B57" s="134"/>
      <c r="C57" s="134"/>
      <c r="D57" s="31">
        <v>44182</v>
      </c>
      <c r="E57" s="16">
        <f t="shared" si="3"/>
        <v>7782.22</v>
      </c>
      <c r="F57" s="32">
        <f t="shared" si="4"/>
        <v>521.11</v>
      </c>
      <c r="G57" s="18">
        <f t="shared" si="5"/>
        <v>8303.33</v>
      </c>
    </row>
    <row r="58" spans="1:7" ht="13" x14ac:dyDescent="0.15">
      <c r="A58" s="134" t="s">
        <v>58</v>
      </c>
      <c r="B58" s="134"/>
      <c r="C58" s="134"/>
      <c r="D58" s="31">
        <v>44213</v>
      </c>
      <c r="E58" s="16">
        <f t="shared" si="3"/>
        <v>7782.22</v>
      </c>
      <c r="F58" s="32">
        <f t="shared" si="4"/>
        <v>521.11</v>
      </c>
      <c r="G58" s="18">
        <f t="shared" si="5"/>
        <v>8303.33</v>
      </c>
    </row>
    <row r="59" spans="1:7" ht="13" x14ac:dyDescent="0.15">
      <c r="A59" s="134" t="s">
        <v>59</v>
      </c>
      <c r="B59" s="134"/>
      <c r="C59" s="134"/>
      <c r="D59" s="31">
        <v>44244</v>
      </c>
      <c r="E59" s="16">
        <f t="shared" si="3"/>
        <v>7782.22</v>
      </c>
      <c r="F59" s="32">
        <f t="shared" si="4"/>
        <v>521.11</v>
      </c>
      <c r="G59" s="18">
        <f t="shared" si="5"/>
        <v>8303.33</v>
      </c>
    </row>
    <row r="60" spans="1:7" ht="13" x14ac:dyDescent="0.15">
      <c r="A60" s="134" t="s">
        <v>60</v>
      </c>
      <c r="B60" s="134"/>
      <c r="C60" s="134"/>
      <c r="D60" s="31">
        <v>44272</v>
      </c>
      <c r="E60" s="16">
        <f t="shared" si="3"/>
        <v>7782.22</v>
      </c>
      <c r="F60" s="32">
        <f t="shared" si="4"/>
        <v>521.11</v>
      </c>
      <c r="G60" s="18">
        <f t="shared" si="5"/>
        <v>8303.33</v>
      </c>
    </row>
    <row r="61" spans="1:7" ht="13" x14ac:dyDescent="0.15">
      <c r="A61" s="134" t="s">
        <v>61</v>
      </c>
      <c r="B61" s="134"/>
      <c r="C61" s="134"/>
      <c r="D61" s="31">
        <v>44303</v>
      </c>
      <c r="E61" s="16">
        <f t="shared" si="3"/>
        <v>7782.22</v>
      </c>
      <c r="F61" s="32">
        <f t="shared" si="4"/>
        <v>521.11</v>
      </c>
      <c r="G61" s="18">
        <f t="shared" si="5"/>
        <v>8303.33</v>
      </c>
    </row>
    <row r="62" spans="1:7" ht="13" x14ac:dyDescent="0.15">
      <c r="A62" s="134" t="s">
        <v>62</v>
      </c>
      <c r="B62" s="134"/>
      <c r="C62" s="134"/>
      <c r="D62" s="31">
        <v>44333</v>
      </c>
      <c r="E62" s="16">
        <f t="shared" si="3"/>
        <v>7782.22</v>
      </c>
      <c r="F62" s="32">
        <f t="shared" si="4"/>
        <v>521.11</v>
      </c>
      <c r="G62" s="18">
        <f t="shared" si="5"/>
        <v>8303.33</v>
      </c>
    </row>
    <row r="63" spans="1:7" ht="13" x14ac:dyDescent="0.15">
      <c r="A63" s="134" t="s">
        <v>63</v>
      </c>
      <c r="B63" s="134"/>
      <c r="C63" s="134"/>
      <c r="D63" s="31">
        <v>44364</v>
      </c>
      <c r="E63" s="16">
        <f>IF($A$39&lt;VALUE(LEFT(A63,2))," ",IF($A$39=VALUE(LEFT(A63,2)),($G$35-$G$36-$G$34)-($E$40*($A$39-1)),E62))</f>
        <v>7782.22</v>
      </c>
      <c r="F63" s="32">
        <f>IF($A$39&lt;VALUE(LEFT(A63,2))," ",IF($A$39=VALUE(LEFT(A63,2)),$G$34-($F$40*($A$39-1)),F62))</f>
        <v>521.11</v>
      </c>
      <c r="G63" s="18">
        <f>IF($A$39&lt;VALUE(LEFT(A63,2))," ",SUM(E63:F63))</f>
        <v>8303.33</v>
      </c>
    </row>
    <row r="64" spans="1:7" ht="13" x14ac:dyDescent="0.15">
      <c r="A64" s="134" t="s">
        <v>64</v>
      </c>
      <c r="B64" s="134"/>
      <c r="C64" s="134"/>
      <c r="D64" s="31">
        <v>44394</v>
      </c>
      <c r="E64" s="16">
        <f t="shared" ref="E64:E73" si="6">IF($A$39&lt;VALUE(LEFT(A64,2))," ",IF($A$39=VALUE(LEFT(A64,2)),($G$35-$G$36-$G$34)-($E$40*($A$39-1)),E63))</f>
        <v>7782.22</v>
      </c>
      <c r="F64" s="32">
        <f t="shared" ref="F64:F73" si="7">IF($A$39&lt;VALUE(LEFT(A64,2))," ",IF($A$39=VALUE(LEFT(A64,2)),$G$34-($F$40*($A$39-1)),F63))</f>
        <v>521.11</v>
      </c>
      <c r="G64" s="18">
        <f t="shared" ref="G64:G73" si="8">IF($A$39&lt;VALUE(LEFT(A64,2))," ",SUM(E64:F64))</f>
        <v>8303.33</v>
      </c>
    </row>
    <row r="65" spans="1:7" ht="13" x14ac:dyDescent="0.15">
      <c r="A65" s="134" t="s">
        <v>65</v>
      </c>
      <c r="B65" s="134"/>
      <c r="C65" s="134"/>
      <c r="D65" s="31">
        <v>44425</v>
      </c>
      <c r="E65" s="16">
        <f t="shared" si="6"/>
        <v>7782.22</v>
      </c>
      <c r="F65" s="32">
        <f t="shared" si="7"/>
        <v>521.11</v>
      </c>
      <c r="G65" s="18">
        <f t="shared" si="8"/>
        <v>8303.33</v>
      </c>
    </row>
    <row r="66" spans="1:7" ht="13" x14ac:dyDescent="0.15">
      <c r="A66" s="134" t="s">
        <v>66</v>
      </c>
      <c r="B66" s="134"/>
      <c r="C66" s="134"/>
      <c r="D66" s="31">
        <v>44456</v>
      </c>
      <c r="E66" s="16">
        <f t="shared" si="6"/>
        <v>7782.22</v>
      </c>
      <c r="F66" s="32">
        <f t="shared" si="7"/>
        <v>521.11</v>
      </c>
      <c r="G66" s="18">
        <f t="shared" si="8"/>
        <v>8303.33</v>
      </c>
    </row>
    <row r="67" spans="1:7" ht="13" x14ac:dyDescent="0.15">
      <c r="A67" s="134" t="s">
        <v>67</v>
      </c>
      <c r="B67" s="134"/>
      <c r="C67" s="134"/>
      <c r="D67" s="31">
        <v>44486</v>
      </c>
      <c r="E67" s="16">
        <f t="shared" si="6"/>
        <v>7782.22</v>
      </c>
      <c r="F67" s="32">
        <f t="shared" si="7"/>
        <v>521.11</v>
      </c>
      <c r="G67" s="18">
        <f t="shared" si="8"/>
        <v>8303.33</v>
      </c>
    </row>
    <row r="68" spans="1:7" ht="13" x14ac:dyDescent="0.15">
      <c r="A68" s="134" t="s">
        <v>68</v>
      </c>
      <c r="B68" s="134"/>
      <c r="C68" s="134"/>
      <c r="D68" s="31">
        <v>44517</v>
      </c>
      <c r="E68" s="16">
        <f t="shared" si="6"/>
        <v>7782.22</v>
      </c>
      <c r="F68" s="32">
        <f t="shared" si="7"/>
        <v>521.11</v>
      </c>
      <c r="G68" s="18">
        <f t="shared" si="8"/>
        <v>8303.33</v>
      </c>
    </row>
    <row r="69" spans="1:7" ht="13" x14ac:dyDescent="0.15">
      <c r="A69" s="134" t="s">
        <v>69</v>
      </c>
      <c r="B69" s="134"/>
      <c r="C69" s="134"/>
      <c r="D69" s="31">
        <v>44547</v>
      </c>
      <c r="E69" s="16">
        <f t="shared" si="6"/>
        <v>7782.22</v>
      </c>
      <c r="F69" s="32">
        <f t="shared" si="7"/>
        <v>521.11</v>
      </c>
      <c r="G69" s="18">
        <f t="shared" si="8"/>
        <v>8303.33</v>
      </c>
    </row>
    <row r="70" spans="1:7" ht="13" x14ac:dyDescent="0.15">
      <c r="A70" s="134" t="s">
        <v>70</v>
      </c>
      <c r="B70" s="134"/>
      <c r="C70" s="134"/>
      <c r="D70" s="31">
        <v>44578</v>
      </c>
      <c r="E70" s="16">
        <f t="shared" si="6"/>
        <v>7782.22</v>
      </c>
      <c r="F70" s="32">
        <f t="shared" si="7"/>
        <v>521.11</v>
      </c>
      <c r="G70" s="18">
        <f t="shared" si="8"/>
        <v>8303.33</v>
      </c>
    </row>
    <row r="71" spans="1:7" ht="13" x14ac:dyDescent="0.15">
      <c r="A71" s="134" t="s">
        <v>71</v>
      </c>
      <c r="B71" s="134"/>
      <c r="C71" s="134"/>
      <c r="D71" s="31">
        <v>44609</v>
      </c>
      <c r="E71" s="16">
        <f t="shared" si="6"/>
        <v>7782.22</v>
      </c>
      <c r="F71" s="32">
        <f t="shared" si="7"/>
        <v>521.11</v>
      </c>
      <c r="G71" s="18">
        <f t="shared" si="8"/>
        <v>8303.33</v>
      </c>
    </row>
    <row r="72" spans="1:7" ht="13" x14ac:dyDescent="0.15">
      <c r="A72" s="134" t="s">
        <v>72</v>
      </c>
      <c r="B72" s="134"/>
      <c r="C72" s="134"/>
      <c r="D72" s="31">
        <v>44637</v>
      </c>
      <c r="E72" s="16">
        <f t="shared" si="6"/>
        <v>7782.22</v>
      </c>
      <c r="F72" s="32">
        <f t="shared" si="7"/>
        <v>521.11</v>
      </c>
      <c r="G72" s="18">
        <f t="shared" si="8"/>
        <v>8303.33</v>
      </c>
    </row>
    <row r="73" spans="1:7" ht="13" x14ac:dyDescent="0.15">
      <c r="A73" s="134" t="s">
        <v>73</v>
      </c>
      <c r="B73" s="134"/>
      <c r="C73" s="134"/>
      <c r="D73" s="31">
        <v>44668</v>
      </c>
      <c r="E73" s="16">
        <f t="shared" si="6"/>
        <v>7782.22</v>
      </c>
      <c r="F73" s="32">
        <f t="shared" si="7"/>
        <v>521.11</v>
      </c>
      <c r="G73" s="18">
        <f t="shared" si="8"/>
        <v>8303.33</v>
      </c>
    </row>
    <row r="74" spans="1:7" ht="13" x14ac:dyDescent="0.15">
      <c r="A74" s="134" t="s">
        <v>74</v>
      </c>
      <c r="B74" s="134"/>
      <c r="C74" s="134"/>
      <c r="D74" s="31">
        <v>44698</v>
      </c>
      <c r="E74" s="16">
        <f>IF($A$39&lt;VALUE(LEFT(A74,2))," ",IF($A$39=VALUE(LEFT(A74,2)),($G$35-$G$36-$G$34)-($E$40*($A$39-1)),E73))</f>
        <v>7782.22</v>
      </c>
      <c r="F74" s="32">
        <f>IF($A$39&lt;VALUE(LEFT(A74,2))," ",IF($A$39=VALUE(LEFT(A74,2)),$G$34-($F$40*($A$39-1)),F73))</f>
        <v>521.11</v>
      </c>
      <c r="G74" s="18">
        <f>IF($A$39&lt;VALUE(LEFT(A74,2))," ",SUM(E74:F74))</f>
        <v>8303.33</v>
      </c>
    </row>
    <row r="75" spans="1:7" ht="13" x14ac:dyDescent="0.15">
      <c r="A75" s="134" t="s">
        <v>75</v>
      </c>
      <c r="B75" s="134"/>
      <c r="C75" s="134"/>
      <c r="D75" s="31">
        <v>44729</v>
      </c>
      <c r="E75" s="16">
        <f>IF($A$39&lt;VALUE(LEFT(A75,2))," ",IF($A$39=VALUE(LEFT(A75,2)),($G$35-$G$36-$G$34)-($E$40*($A$39-1)),E74))</f>
        <v>7782.2999999999884</v>
      </c>
      <c r="F75" s="32">
        <f>IF($A$39&lt;VALUE(LEFT(A75,2))," ",IF($A$39=VALUE(LEFT(A75,2)),$G$34-($F$40*($A$39-1)),F74))</f>
        <v>521.14999999999782</v>
      </c>
      <c r="G75" s="18">
        <f>IF($A$39&lt;VALUE(LEFT(A75,2))," ",SUM(E75:F75))</f>
        <v>8303.4499999999862</v>
      </c>
    </row>
    <row r="76" spans="1:7" ht="13" hidden="1" x14ac:dyDescent="0.15">
      <c r="A76" s="134" t="s">
        <v>76</v>
      </c>
      <c r="B76" s="134"/>
      <c r="C76" s="134"/>
      <c r="D76" s="31">
        <v>44578</v>
      </c>
      <c r="E76" s="16" t="str">
        <f t="shared" ref="E76:E85" si="9">IF($A$39&lt;VALUE(LEFT(A76,2))," ",IF($A$39=VALUE(LEFT(A76,2)),($G$35-$G$36-$G$34)-($E$40*($A$39-1)),E75))</f>
        <v xml:space="preserve"> </v>
      </c>
      <c r="F76" s="32" t="str">
        <f t="shared" ref="F76:F85" si="10">IF($A$39&lt;VALUE(LEFT(A76,2))," ",IF($A$39=VALUE(LEFT(A76,2)),$G$34-($F$40*($A$39-1)),F75))</f>
        <v xml:space="preserve"> </v>
      </c>
      <c r="G76" s="18" t="str">
        <f t="shared" ref="G76:G85" si="11">IF($A$39&lt;VALUE(LEFT(A76,2))," ",SUM(E76:F76))</f>
        <v xml:space="preserve"> </v>
      </c>
    </row>
    <row r="77" spans="1:7" ht="13" hidden="1" x14ac:dyDescent="0.15">
      <c r="A77" s="134" t="s">
        <v>77</v>
      </c>
      <c r="B77" s="134"/>
      <c r="C77" s="134"/>
      <c r="D77" s="31">
        <v>44609</v>
      </c>
      <c r="E77" s="16" t="str">
        <f t="shared" si="9"/>
        <v xml:space="preserve"> </v>
      </c>
      <c r="F77" s="32" t="str">
        <f t="shared" si="10"/>
        <v xml:space="preserve"> </v>
      </c>
      <c r="G77" s="18" t="str">
        <f t="shared" si="11"/>
        <v xml:space="preserve"> </v>
      </c>
    </row>
    <row r="78" spans="1:7" ht="13" hidden="1" x14ac:dyDescent="0.15">
      <c r="A78" s="134" t="s">
        <v>78</v>
      </c>
      <c r="B78" s="134"/>
      <c r="C78" s="134"/>
      <c r="D78" s="31">
        <v>44637</v>
      </c>
      <c r="E78" s="16" t="str">
        <f t="shared" si="9"/>
        <v xml:space="preserve"> </v>
      </c>
      <c r="F78" s="32" t="str">
        <f t="shared" si="10"/>
        <v xml:space="preserve"> </v>
      </c>
      <c r="G78" s="18" t="str">
        <f t="shared" si="11"/>
        <v xml:space="preserve"> </v>
      </c>
    </row>
    <row r="79" spans="1:7" ht="13" hidden="1" x14ac:dyDescent="0.15">
      <c r="A79" s="134" t="s">
        <v>79</v>
      </c>
      <c r="B79" s="134"/>
      <c r="C79" s="134"/>
      <c r="D79" s="31">
        <v>44668</v>
      </c>
      <c r="E79" s="16" t="str">
        <f t="shared" si="9"/>
        <v xml:space="preserve"> </v>
      </c>
      <c r="F79" s="32" t="str">
        <f t="shared" si="10"/>
        <v xml:space="preserve"> </v>
      </c>
      <c r="G79" s="18" t="str">
        <f t="shared" si="11"/>
        <v xml:space="preserve"> </v>
      </c>
    </row>
    <row r="80" spans="1:7" ht="13" hidden="1" x14ac:dyDescent="0.15">
      <c r="A80" s="134" t="s">
        <v>80</v>
      </c>
      <c r="B80" s="134"/>
      <c r="C80" s="134"/>
      <c r="D80" s="31">
        <v>44698</v>
      </c>
      <c r="E80" s="16" t="str">
        <f t="shared" si="9"/>
        <v xml:space="preserve"> </v>
      </c>
      <c r="F80" s="32" t="str">
        <f t="shared" si="10"/>
        <v xml:space="preserve"> </v>
      </c>
      <c r="G80" s="18" t="str">
        <f t="shared" si="11"/>
        <v xml:space="preserve"> </v>
      </c>
    </row>
    <row r="81" spans="1:7" ht="13" hidden="1" x14ac:dyDescent="0.15">
      <c r="A81" s="134" t="s">
        <v>81</v>
      </c>
      <c r="B81" s="134"/>
      <c r="C81" s="134"/>
      <c r="D81" s="31">
        <v>44729</v>
      </c>
      <c r="E81" s="16" t="str">
        <f t="shared" si="9"/>
        <v xml:space="preserve"> </v>
      </c>
      <c r="F81" s="32" t="str">
        <f t="shared" si="10"/>
        <v xml:space="preserve"> </v>
      </c>
      <c r="G81" s="18" t="str">
        <f t="shared" si="11"/>
        <v xml:space="preserve"> </v>
      </c>
    </row>
    <row r="82" spans="1:7" ht="13" hidden="1" x14ac:dyDescent="0.15">
      <c r="A82" s="134" t="s">
        <v>82</v>
      </c>
      <c r="B82" s="134"/>
      <c r="C82" s="134"/>
      <c r="D82" s="31">
        <v>44759</v>
      </c>
      <c r="E82" s="16" t="str">
        <f t="shared" si="9"/>
        <v xml:space="preserve"> </v>
      </c>
      <c r="F82" s="32" t="str">
        <f t="shared" si="10"/>
        <v xml:space="preserve"> </v>
      </c>
      <c r="G82" s="18" t="str">
        <f t="shared" si="11"/>
        <v xml:space="preserve"> </v>
      </c>
    </row>
    <row r="83" spans="1:7" ht="13" hidden="1" x14ac:dyDescent="0.15">
      <c r="A83" s="134" t="s">
        <v>83</v>
      </c>
      <c r="B83" s="134"/>
      <c r="C83" s="134"/>
      <c r="D83" s="31">
        <v>44790</v>
      </c>
      <c r="E83" s="16" t="str">
        <f t="shared" si="9"/>
        <v xml:space="preserve"> </v>
      </c>
      <c r="F83" s="32" t="str">
        <f t="shared" si="10"/>
        <v xml:space="preserve"> </v>
      </c>
      <c r="G83" s="18" t="str">
        <f t="shared" si="11"/>
        <v xml:space="preserve"> </v>
      </c>
    </row>
    <row r="84" spans="1:7" ht="13" hidden="1" x14ac:dyDescent="0.15">
      <c r="A84" s="134" t="s">
        <v>84</v>
      </c>
      <c r="B84" s="134"/>
      <c r="C84" s="134"/>
      <c r="D84" s="31">
        <v>44821</v>
      </c>
      <c r="E84" s="16" t="str">
        <f t="shared" si="9"/>
        <v xml:space="preserve"> </v>
      </c>
      <c r="F84" s="32" t="str">
        <f t="shared" si="10"/>
        <v xml:space="preserve"> </v>
      </c>
      <c r="G84" s="18" t="str">
        <f t="shared" si="11"/>
        <v xml:space="preserve"> </v>
      </c>
    </row>
    <row r="85" spans="1:7" ht="13" hidden="1" x14ac:dyDescent="0.15">
      <c r="A85" s="134" t="s">
        <v>85</v>
      </c>
      <c r="B85" s="134"/>
      <c r="C85" s="134"/>
      <c r="D85" s="31">
        <v>44851</v>
      </c>
      <c r="E85" s="16" t="str">
        <f t="shared" si="9"/>
        <v xml:space="preserve"> </v>
      </c>
      <c r="F85" s="32" t="str">
        <f t="shared" si="10"/>
        <v xml:space="preserve"> </v>
      </c>
      <c r="G85" s="18" t="str">
        <f t="shared" si="11"/>
        <v xml:space="preserve"> </v>
      </c>
    </row>
    <row r="86" spans="1:7" ht="13" hidden="1" x14ac:dyDescent="0.15">
      <c r="A86" s="134" t="s">
        <v>86</v>
      </c>
      <c r="B86" s="134"/>
      <c r="C86" s="134"/>
      <c r="D86" s="31">
        <v>44882</v>
      </c>
      <c r="E86" s="16" t="str">
        <f t="shared" ref="E86:E91" si="12">IF($A$39&lt;VALUE(LEFT(A86,2))," ",IF($A$39=VALUE(LEFT(A86,2)),($G$35-$G$36-$G$34)-($E$40*($A$39-1)),E85))</f>
        <v xml:space="preserve"> </v>
      </c>
      <c r="F86" s="32" t="str">
        <f t="shared" ref="F86:F91" si="13">IF($A$39&lt;VALUE(LEFT(A86,2))," ",IF($A$39=VALUE(LEFT(A86,2)),$G$34-($F$40*($A$39-1)),F85))</f>
        <v xml:space="preserve"> </v>
      </c>
      <c r="G86" s="18" t="str">
        <f t="shared" ref="G86:G91" si="14">IF($A$39&lt;VALUE(LEFT(A86,2))," ",SUM(E86:F86))</f>
        <v xml:space="preserve"> </v>
      </c>
    </row>
    <row r="87" spans="1:7" ht="13" hidden="1" x14ac:dyDescent="0.15">
      <c r="A87" s="134" t="s">
        <v>87</v>
      </c>
      <c r="B87" s="134"/>
      <c r="C87" s="134"/>
      <c r="D87" s="31">
        <v>44912</v>
      </c>
      <c r="E87" s="16" t="str">
        <f t="shared" si="12"/>
        <v xml:space="preserve"> </v>
      </c>
      <c r="F87" s="32" t="str">
        <f t="shared" si="13"/>
        <v xml:space="preserve"> </v>
      </c>
      <c r="G87" s="18" t="str">
        <f t="shared" si="14"/>
        <v xml:space="preserve"> </v>
      </c>
    </row>
    <row r="88" spans="1:7" ht="13" hidden="1" x14ac:dyDescent="0.15">
      <c r="A88" s="134" t="s">
        <v>88</v>
      </c>
      <c r="B88" s="134"/>
      <c r="C88" s="134"/>
      <c r="D88" s="31">
        <v>44897</v>
      </c>
      <c r="E88" s="16" t="str">
        <f t="shared" si="12"/>
        <v xml:space="preserve"> </v>
      </c>
      <c r="F88" s="32" t="str">
        <f t="shared" si="13"/>
        <v xml:space="preserve"> </v>
      </c>
      <c r="G88" s="18" t="str">
        <f t="shared" si="14"/>
        <v xml:space="preserve"> </v>
      </c>
    </row>
    <row r="89" spans="1:7" ht="13" hidden="1" x14ac:dyDescent="0.15">
      <c r="A89" s="134" t="s">
        <v>89</v>
      </c>
      <c r="B89" s="134"/>
      <c r="C89" s="134"/>
      <c r="D89" s="31">
        <v>44928</v>
      </c>
      <c r="E89" s="16" t="str">
        <f t="shared" si="12"/>
        <v xml:space="preserve"> </v>
      </c>
      <c r="F89" s="32" t="str">
        <f t="shared" si="13"/>
        <v xml:space="preserve"> </v>
      </c>
      <c r="G89" s="18" t="str">
        <f t="shared" si="14"/>
        <v xml:space="preserve"> </v>
      </c>
    </row>
    <row r="90" spans="1:7" ht="13" hidden="1" x14ac:dyDescent="0.15">
      <c r="A90" s="134" t="s">
        <v>90</v>
      </c>
      <c r="B90" s="134"/>
      <c r="C90" s="134"/>
      <c r="D90" s="31">
        <v>44959</v>
      </c>
      <c r="E90" s="16" t="str">
        <f t="shared" si="12"/>
        <v xml:space="preserve"> </v>
      </c>
      <c r="F90" s="32" t="str">
        <f t="shared" si="13"/>
        <v xml:space="preserve"> </v>
      </c>
      <c r="G90" s="18" t="str">
        <f t="shared" si="14"/>
        <v xml:space="preserve"> </v>
      </c>
    </row>
    <row r="91" spans="1:7" ht="13" hidden="1" x14ac:dyDescent="0.15">
      <c r="A91" s="134" t="s">
        <v>91</v>
      </c>
      <c r="B91" s="134"/>
      <c r="C91" s="134"/>
      <c r="D91" s="31">
        <v>44987</v>
      </c>
      <c r="E91" s="16" t="str">
        <f t="shared" si="12"/>
        <v xml:space="preserve"> </v>
      </c>
      <c r="F91" s="32" t="str">
        <f t="shared" si="13"/>
        <v xml:space="preserve"> </v>
      </c>
      <c r="G91" s="18" t="str">
        <f t="shared" si="14"/>
        <v xml:space="preserve"> </v>
      </c>
    </row>
    <row r="92" spans="1:7" ht="13" hidden="1" x14ac:dyDescent="0.15">
      <c r="A92" s="122"/>
      <c r="B92" s="122"/>
      <c r="C92" s="122"/>
      <c r="D92" s="31"/>
      <c r="E92" s="16"/>
      <c r="F92" s="32"/>
      <c r="G92" s="18"/>
    </row>
    <row r="93" spans="1:7" ht="13" hidden="1" x14ac:dyDescent="0.15">
      <c r="A93" s="122"/>
      <c r="B93" s="122"/>
      <c r="C93" s="122"/>
      <c r="D93" s="31"/>
      <c r="E93" s="16"/>
      <c r="F93" s="32"/>
      <c r="G93" s="18"/>
    </row>
    <row r="94" spans="1:7" ht="13" hidden="1" x14ac:dyDescent="0.15">
      <c r="A94" s="122"/>
      <c r="B94" s="122"/>
      <c r="C94" s="122"/>
      <c r="D94" s="31"/>
      <c r="E94" s="16"/>
      <c r="F94" s="32"/>
      <c r="G94" s="18"/>
    </row>
    <row r="95" spans="1:7" ht="13" hidden="1" x14ac:dyDescent="0.15">
      <c r="A95" s="122"/>
      <c r="B95" s="122"/>
      <c r="C95" s="122"/>
      <c r="D95" s="31"/>
      <c r="E95" s="16"/>
      <c r="F95" s="32"/>
      <c r="G95" s="18"/>
    </row>
    <row r="96" spans="1:7" ht="13" hidden="1" x14ac:dyDescent="0.15">
      <c r="A96" s="122"/>
      <c r="B96" s="122"/>
      <c r="C96" s="122"/>
      <c r="D96" s="31"/>
      <c r="E96" s="16"/>
      <c r="F96" s="32"/>
      <c r="G96" s="18"/>
    </row>
    <row r="97" spans="1:9" ht="13" hidden="1" x14ac:dyDescent="0.15">
      <c r="A97" s="122"/>
      <c r="B97" s="122"/>
      <c r="C97" s="122"/>
      <c r="D97" s="31"/>
      <c r="E97" s="16"/>
      <c r="F97" s="32"/>
      <c r="G97" s="18"/>
    </row>
    <row r="98" spans="1:9" ht="13" hidden="1" x14ac:dyDescent="0.15">
      <c r="A98" s="122"/>
      <c r="B98" s="122"/>
      <c r="C98" s="122"/>
      <c r="D98" s="31"/>
      <c r="E98" s="16"/>
      <c r="F98" s="32"/>
      <c r="G98" s="18"/>
    </row>
    <row r="99" spans="1:9" ht="13" hidden="1" x14ac:dyDescent="0.15">
      <c r="A99" s="122"/>
      <c r="B99" s="122"/>
      <c r="C99" s="122"/>
      <c r="D99" s="31"/>
      <c r="E99" s="16"/>
      <c r="F99" s="32"/>
      <c r="G99" s="18"/>
    </row>
    <row r="100" spans="1:9" ht="13" hidden="1" x14ac:dyDescent="0.15">
      <c r="A100" s="122"/>
      <c r="B100" s="122"/>
      <c r="C100" s="122"/>
      <c r="D100" s="31"/>
      <c r="E100" s="16"/>
      <c r="F100" s="32"/>
      <c r="G100" s="18"/>
    </row>
    <row r="101" spans="1:9" ht="13" hidden="1" x14ac:dyDescent="0.15">
      <c r="A101" s="122"/>
      <c r="B101" s="122"/>
      <c r="C101" s="122"/>
      <c r="D101" s="31"/>
      <c r="E101" s="16"/>
      <c r="F101" s="32"/>
      <c r="G101" s="18"/>
    </row>
    <row r="102" spans="1:9" ht="13" hidden="1" x14ac:dyDescent="0.15">
      <c r="A102" s="122"/>
      <c r="B102" s="122"/>
      <c r="C102" s="122"/>
      <c r="D102" s="31"/>
      <c r="E102" s="16"/>
      <c r="F102" s="32"/>
      <c r="G102" s="18"/>
    </row>
    <row r="103" spans="1:9" ht="13" hidden="1" x14ac:dyDescent="0.15">
      <c r="A103" s="122"/>
      <c r="B103" s="122"/>
      <c r="C103" s="122"/>
      <c r="D103" s="31"/>
      <c r="E103" s="16"/>
      <c r="F103" s="32"/>
      <c r="G103" s="18"/>
    </row>
    <row r="104" spans="1:9" ht="13" hidden="1" x14ac:dyDescent="0.15">
      <c r="A104" s="122"/>
      <c r="B104" s="122"/>
      <c r="C104" s="122"/>
      <c r="D104" s="31"/>
      <c r="E104" s="16"/>
      <c r="F104" s="32"/>
      <c r="G104" s="18"/>
    </row>
    <row r="105" spans="1:9" ht="13" x14ac:dyDescent="0.15">
      <c r="A105" s="122"/>
      <c r="B105" s="122"/>
      <c r="C105" s="122"/>
      <c r="D105" s="31"/>
      <c r="E105" s="16"/>
      <c r="F105" s="32"/>
      <c r="G105" s="18"/>
    </row>
    <row r="106" spans="1:9" ht="13" hidden="1" x14ac:dyDescent="0.15">
      <c r="B106" s="33"/>
      <c r="E106" s="34"/>
      <c r="F106" s="25"/>
      <c r="G106" s="35"/>
    </row>
    <row r="107" spans="1:9" ht="13" x14ac:dyDescent="0.15">
      <c r="A107" s="22" t="s">
        <v>92</v>
      </c>
    </row>
    <row r="108" spans="1:9" ht="13" x14ac:dyDescent="0.15">
      <c r="B108" s="1" t="s">
        <v>93</v>
      </c>
      <c r="F108" s="36">
        <f>D70</f>
        <v>44578</v>
      </c>
    </row>
    <row r="109" spans="1:9" ht="13" x14ac:dyDescent="0.15">
      <c r="B109" s="1" t="s">
        <v>94</v>
      </c>
      <c r="F109" s="36">
        <f>D75+31</f>
        <v>44760</v>
      </c>
      <c r="G109" s="37">
        <f>ROUND(((G24+G25)*((100-A33)/100))+(G29*(100-A33)/100),2)</f>
        <v>1275680</v>
      </c>
      <c r="I109" s="18"/>
    </row>
    <row r="110" spans="1:9" ht="13" x14ac:dyDescent="0.15">
      <c r="B110" s="1" t="s">
        <v>95</v>
      </c>
    </row>
    <row r="112" spans="1:9" ht="13" x14ac:dyDescent="0.15">
      <c r="A112" s="38" t="s">
        <v>96</v>
      </c>
      <c r="B112" s="39"/>
      <c r="C112" s="39"/>
      <c r="D112" s="39"/>
    </row>
    <row r="113" spans="1:7" ht="13" x14ac:dyDescent="0.15">
      <c r="A113" s="144" t="s">
        <v>97</v>
      </c>
      <c r="B113" s="144"/>
      <c r="C113" s="144"/>
      <c r="D113" s="144"/>
      <c r="E113" s="144"/>
      <c r="F113" s="144"/>
      <c r="G113" s="144"/>
    </row>
    <row r="114" spans="1:7" ht="13" x14ac:dyDescent="0.15">
      <c r="A114" s="39" t="s">
        <v>98</v>
      </c>
      <c r="B114" s="39"/>
      <c r="C114" s="39"/>
      <c r="D114" s="39"/>
    </row>
    <row r="115" spans="1:7" ht="13" x14ac:dyDescent="0.15">
      <c r="A115" s="39" t="s">
        <v>99</v>
      </c>
      <c r="B115" s="39"/>
      <c r="C115" s="39"/>
      <c r="D115" s="39"/>
    </row>
    <row r="116" spans="1:7" ht="13" x14ac:dyDescent="0.15">
      <c r="A116" s="39" t="s">
        <v>100</v>
      </c>
      <c r="B116" s="39"/>
      <c r="C116" s="39"/>
      <c r="D116" s="39"/>
    </row>
    <row r="117" spans="1:7" ht="13" x14ac:dyDescent="0.15">
      <c r="A117" s="126" t="s">
        <v>101</v>
      </c>
      <c r="B117" s="39"/>
      <c r="C117" s="39"/>
      <c r="D117" s="39"/>
    </row>
    <row r="118" spans="1:7" ht="13" x14ac:dyDescent="0.15">
      <c r="A118" s="126" t="s">
        <v>102</v>
      </c>
      <c r="B118" s="39"/>
      <c r="C118" s="39"/>
      <c r="D118" s="39"/>
    </row>
    <row r="119" spans="1:7" ht="13" x14ac:dyDescent="0.15">
      <c r="A119" s="126" t="s">
        <v>103</v>
      </c>
      <c r="B119" s="39"/>
      <c r="C119" s="39"/>
      <c r="D119" s="39"/>
    </row>
    <row r="120" spans="1:7" ht="13" x14ac:dyDescent="0.15">
      <c r="A120" s="126" t="s">
        <v>104</v>
      </c>
      <c r="B120" s="39"/>
      <c r="C120" s="39"/>
      <c r="D120" s="39"/>
    </row>
    <row r="121" spans="1:7" ht="13" x14ac:dyDescent="0.15">
      <c r="A121" s="126" t="s">
        <v>105</v>
      </c>
      <c r="B121" s="39"/>
      <c r="C121" s="39"/>
      <c r="D121" s="39"/>
    </row>
    <row r="122" spans="1:7" ht="13" x14ac:dyDescent="0.15">
      <c r="A122" s="144" t="s">
        <v>106</v>
      </c>
      <c r="B122" s="144"/>
      <c r="C122" s="144"/>
      <c r="D122" s="144"/>
      <c r="E122" s="144"/>
      <c r="F122" s="144"/>
      <c r="G122" s="144"/>
    </row>
    <row r="125" spans="1:7" ht="13" x14ac:dyDescent="0.15">
      <c r="A125" s="1" t="s">
        <v>107</v>
      </c>
      <c r="E125" s="1" t="s">
        <v>108</v>
      </c>
    </row>
    <row r="128" spans="1:7" ht="13" x14ac:dyDescent="0.15">
      <c r="A128" s="40"/>
      <c r="B128" s="40"/>
      <c r="C128" s="40"/>
      <c r="E128" s="40"/>
      <c r="F128" s="40"/>
      <c r="G128" s="40"/>
    </row>
    <row r="129" spans="1:5" ht="13" x14ac:dyDescent="0.15">
      <c r="A129" s="1" t="s">
        <v>109</v>
      </c>
      <c r="E129" s="1" t="s">
        <v>109</v>
      </c>
    </row>
    <row r="130" spans="1:5" ht="13" x14ac:dyDescent="0.15">
      <c r="A130" s="1" t="s">
        <v>110</v>
      </c>
      <c r="E130" s="1" t="s">
        <v>111</v>
      </c>
    </row>
    <row r="133" spans="1:5" ht="13" x14ac:dyDescent="0.15">
      <c r="A133" s="1" t="s">
        <v>112</v>
      </c>
    </row>
    <row r="136" spans="1:5" ht="13" x14ac:dyDescent="0.15">
      <c r="A136" s="40"/>
      <c r="B136" s="40"/>
      <c r="C136" s="40"/>
    </row>
    <row r="137" spans="1:5" ht="13" x14ac:dyDescent="0.15">
      <c r="A137" s="1" t="s">
        <v>109</v>
      </c>
    </row>
    <row r="138" spans="1:5" ht="13" x14ac:dyDescent="0.15">
      <c r="A138" s="1" t="s">
        <v>113</v>
      </c>
    </row>
  </sheetData>
  <mergeCells count="60">
    <mergeCell ref="A74:C74"/>
    <mergeCell ref="A75:C75"/>
    <mergeCell ref="A68:C68"/>
    <mergeCell ref="A69:C69"/>
    <mergeCell ref="A70:C70"/>
    <mergeCell ref="A71:C71"/>
    <mergeCell ref="A72:C72"/>
    <mergeCell ref="A73:C73"/>
    <mergeCell ref="A66:C66"/>
    <mergeCell ref="A67:C67"/>
    <mergeCell ref="A61:C61"/>
    <mergeCell ref="A63:C63"/>
    <mergeCell ref="A62:C62"/>
    <mergeCell ref="A55:C55"/>
    <mergeCell ref="A54:C54"/>
    <mergeCell ref="A64:C64"/>
    <mergeCell ref="A65:C65"/>
    <mergeCell ref="A60:C60"/>
    <mergeCell ref="A59:C59"/>
    <mergeCell ref="A57:C57"/>
    <mergeCell ref="A56:C56"/>
    <mergeCell ref="B1:F1"/>
    <mergeCell ref="A52:C52"/>
    <mergeCell ref="B39:C39"/>
    <mergeCell ref="F7:G7"/>
    <mergeCell ref="A41:C41"/>
    <mergeCell ref="F6:G6"/>
    <mergeCell ref="A45:C45"/>
    <mergeCell ref="A46:C46"/>
    <mergeCell ref="B2:F2"/>
    <mergeCell ref="A51:C51"/>
    <mergeCell ref="A44:C44"/>
    <mergeCell ref="A3:G3"/>
    <mergeCell ref="A48:C48"/>
    <mergeCell ref="A122:G122"/>
    <mergeCell ref="A58:C58"/>
    <mergeCell ref="A40:C40"/>
    <mergeCell ref="A53:C53"/>
    <mergeCell ref="A43:C43"/>
    <mergeCell ref="A113:G113"/>
    <mergeCell ref="A50:C50"/>
    <mergeCell ref="A49:C49"/>
    <mergeCell ref="A42:C42"/>
    <mergeCell ref="A47:C47"/>
    <mergeCell ref="A76:C76"/>
    <mergeCell ref="A77:C77"/>
    <mergeCell ref="A78:C78"/>
    <mergeCell ref="A79:C79"/>
    <mergeCell ref="A80:C80"/>
    <mergeCell ref="A81:C81"/>
    <mergeCell ref="A88:C88"/>
    <mergeCell ref="A89:C89"/>
    <mergeCell ref="A90:C90"/>
    <mergeCell ref="A91:C91"/>
    <mergeCell ref="A82:C82"/>
    <mergeCell ref="A83:C83"/>
    <mergeCell ref="A84:C84"/>
    <mergeCell ref="A85:C85"/>
    <mergeCell ref="A86:C86"/>
    <mergeCell ref="A87:C87"/>
  </mergeCells>
  <conditionalFormatting sqref="B11 B25">
    <cfRule type="expression" dxfId="39" priority="2" stopIfTrue="1">
      <formula>G11=0</formula>
    </cfRule>
  </conditionalFormatting>
  <conditionalFormatting sqref="A41:C48">
    <cfRule type="expression" dxfId="38" priority="3" stopIfTrue="1">
      <formula>VALUE(NoDPSchedule)&lt;VALUE(LEFT(A41,1))</formula>
    </cfRule>
  </conditionalFormatting>
  <conditionalFormatting sqref="A49:C105">
    <cfRule type="expression" dxfId="37" priority="4" stopIfTrue="1">
      <formula>VALUE(NoDPSchedule)&lt;VALUE(LEFT(A49,2))</formula>
    </cfRule>
  </conditionalFormatting>
  <conditionalFormatting sqref="G11 G25">
    <cfRule type="expression" dxfId="36" priority="5" stopIfTrue="1">
      <formula>G11=0</formula>
    </cfRule>
  </conditionalFormatting>
  <conditionalFormatting sqref="D4">
    <cfRule type="expression" dxfId="35" priority="1" stopIfTrue="1">
      <formula>G5&lt;=TODAY()</formula>
    </cfRule>
  </conditionalFormatting>
  <printOptions horizontalCentered="1"/>
  <pageMargins left="0.23622047244094491" right="0.23622047244094491" top="0.51181102362204722" bottom="0.51181102362204722" header="0.51181102362204722" footer="0.51181102362204722"/>
  <pageSetup scale="66" orientation="portrait" horizontalDpi="4294967294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J137"/>
  <sheetViews>
    <sheetView topLeftCell="A10" workbookViewId="0">
      <selection activeCell="D24" sqref="D24"/>
    </sheetView>
  </sheetViews>
  <sheetFormatPr baseColWidth="10" defaultColWidth="12.33203125" defaultRowHeight="12.75" customHeight="1" x14ac:dyDescent="0.15"/>
  <cols>
    <col min="1" max="5" width="12.33203125" style="41"/>
    <col min="6" max="6" width="35.33203125" style="41" customWidth="1"/>
    <col min="7" max="7" width="18.6640625" style="41" customWidth="1"/>
    <col min="8" max="8" width="13.6640625" style="41" hidden="1" customWidth="1"/>
    <col min="9" max="16384" width="12.33203125" style="41"/>
  </cols>
  <sheetData>
    <row r="1" spans="1:10" ht="14.25" customHeight="1" thickTop="1" x14ac:dyDescent="0.2">
      <c r="A1" s="83"/>
      <c r="B1" s="157" t="s">
        <v>0</v>
      </c>
      <c r="C1" s="157"/>
      <c r="D1" s="157"/>
      <c r="E1" s="157"/>
      <c r="F1" s="157"/>
      <c r="G1" s="82"/>
    </row>
    <row r="2" spans="1:10" ht="14.25" customHeight="1" x14ac:dyDescent="0.15">
      <c r="A2" s="81"/>
      <c r="B2" s="158" t="s">
        <v>1</v>
      </c>
      <c r="C2" s="158"/>
      <c r="D2" s="158"/>
      <c r="E2" s="158"/>
      <c r="F2" s="158"/>
      <c r="G2" s="80"/>
    </row>
    <row r="3" spans="1:10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0" ht="15" customHeight="1" thickBot="1" x14ac:dyDescent="0.2">
      <c r="A4" s="79">
        <f>IF(A47&lt;=12,12,A47)</f>
        <v>48</v>
      </c>
      <c r="B4" s="78"/>
      <c r="C4" s="78"/>
      <c r="D4" s="98" t="s">
        <v>115</v>
      </c>
      <c r="E4" s="78"/>
      <c r="F4" s="78"/>
      <c r="G4" s="77"/>
    </row>
    <row r="5" spans="1:10" ht="13.5" customHeight="1" thickTop="1" x14ac:dyDescent="0.15">
      <c r="G5" s="76">
        <v>24</v>
      </c>
    </row>
    <row r="6" spans="1:10" ht="13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</row>
    <row r="7" spans="1:10" ht="13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160800</v>
      </c>
      <c r="H11" s="95">
        <f>SellingPrice-G11</f>
        <v>1340000</v>
      </c>
    </row>
    <row r="12" spans="1:10" ht="13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13400</v>
      </c>
      <c r="I12" s="45"/>
      <c r="J12" s="45"/>
    </row>
    <row r="13" spans="1:10" ht="13" x14ac:dyDescent="0.15">
      <c r="B13" s="41" t="s">
        <v>14</v>
      </c>
      <c r="D13" s="38" t="s">
        <v>134</v>
      </c>
      <c r="G13" s="45">
        <v>20000</v>
      </c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135</v>
      </c>
      <c r="E16"/>
      <c r="F16"/>
      <c r="G16" s="45">
        <v>100000</v>
      </c>
      <c r="I16" s="45"/>
    </row>
    <row r="17" spans="1:10" ht="13" hidden="1" x14ac:dyDescent="0.15">
      <c r="B17" s="41" t="s">
        <v>19</v>
      </c>
      <c r="G17" s="45">
        <v>0</v>
      </c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hidden="1" x14ac:dyDescent="0.15">
      <c r="B20" s="41" t="s">
        <v>22</v>
      </c>
      <c r="G20" s="45">
        <v>0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(SellingPrice-G11)-SUM(G12:G22)</f>
        <v>1206600</v>
      </c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144792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84462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84462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1435854</v>
      </c>
    </row>
    <row r="32" spans="1:10" ht="13" x14ac:dyDescent="0.15">
      <c r="A32" s="48" t="s">
        <v>31</v>
      </c>
    </row>
    <row r="33" spans="1:10" ht="13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270278.40000000002</v>
      </c>
    </row>
    <row r="34" spans="1:10" ht="13.5" customHeight="1" thickBot="1" x14ac:dyDescent="0.2">
      <c r="A34" s="48"/>
      <c r="B34" s="41" t="s">
        <v>32</v>
      </c>
      <c r="G34" s="45">
        <f>ROUND(G29*(A33/100),2)</f>
        <v>16892.400000000001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287170.80000000005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44075.451322222223</v>
      </c>
      <c r="G36" s="45">
        <v>20000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267170.80000000005</v>
      </c>
    </row>
    <row r="39" spans="1:10" ht="13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115139.2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8446.2000000000007</v>
      </c>
      <c r="J40" s="45"/>
    </row>
    <row r="41" spans="1:10" ht="13.5" customHeight="1" thickTop="1" x14ac:dyDescent="0.15">
      <c r="B41" s="44" t="s">
        <v>122</v>
      </c>
      <c r="E41" s="51"/>
      <c r="F41" s="99">
        <f ca="1">ReservationDate+19</f>
        <v>44094.451322222223</v>
      </c>
      <c r="G41" s="61">
        <f>SUM(G39:G40)</f>
        <v>123585.4</v>
      </c>
    </row>
    <row r="42" spans="1:10" ht="13" x14ac:dyDescent="0.15">
      <c r="B42" s="52"/>
      <c r="E42" s="51"/>
      <c r="F42" s="50"/>
      <c r="G42" s="49"/>
    </row>
    <row r="43" spans="1:10" ht="13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135139.20000000001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8446.2000000000007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48 months</v>
      </c>
      <c r="E45" s="51"/>
      <c r="F45" s="50"/>
      <c r="G45" s="61">
        <f>SUM(G43:G44)</f>
        <v>143585.40000000002</v>
      </c>
    </row>
    <row r="46" spans="1:10" ht="13" x14ac:dyDescent="0.15">
      <c r="B46" s="60"/>
      <c r="E46" s="51"/>
      <c r="F46" s="50"/>
      <c r="G46" s="49"/>
    </row>
    <row r="47" spans="1:10" ht="25.5" customHeight="1" x14ac:dyDescent="0.15">
      <c r="A47" s="59">
        <v>48</v>
      </c>
      <c r="B47" s="156" t="s">
        <v>36</v>
      </c>
      <c r="C47" s="156"/>
      <c r="D47" s="129" t="s">
        <v>37</v>
      </c>
      <c r="E47" s="58" t="s">
        <v>38</v>
      </c>
      <c r="F47" s="57" t="s">
        <v>27</v>
      </c>
      <c r="G47" s="56" t="s">
        <v>39</v>
      </c>
    </row>
    <row r="48" spans="1:10" ht="13" x14ac:dyDescent="0.15">
      <c r="A48" s="155" t="s">
        <v>40</v>
      </c>
      <c r="B48" s="155"/>
      <c r="C48" s="155"/>
      <c r="D48" s="55">
        <v>43679</v>
      </c>
      <c r="E48" s="54">
        <f>ROUND(G43/A47,2)</f>
        <v>2815.4</v>
      </c>
      <c r="F48" s="53">
        <f>ROUND(G44/A47,2)</f>
        <v>175.96</v>
      </c>
      <c r="G48" s="45">
        <f>SUM(E48:F48)</f>
        <v>2991.36</v>
      </c>
    </row>
    <row r="49" spans="1:7" ht="13" x14ac:dyDescent="0.15">
      <c r="A49" s="155" t="s">
        <v>41</v>
      </c>
      <c r="B49" s="155"/>
      <c r="C49" s="155"/>
      <c r="D49" s="55">
        <v>43710</v>
      </c>
      <c r="E49" s="54">
        <f t="shared" ref="E49:E56" si="0">IF($A$47&lt;VALUE(LEFT(A49,1))," ",IF($A$47=VALUE(LEFT(A49,1)),$G$43-($E$48*($A$47-1)),E48))</f>
        <v>2815.4</v>
      </c>
      <c r="F49" s="53">
        <f t="shared" ref="F49:F56" si="1">IF($A$47&lt;VALUE(LEFT(A49,1))," ",IF($A$47=VALUE(LEFT(A49,1)),$G$44-($F$48*($A$47-1)),F48))</f>
        <v>175.96</v>
      </c>
      <c r="G49" s="45">
        <f t="shared" ref="G49:G56" si="2">IF($A$47&lt;VALUE(LEFT(A49,1))," ",SUM(E49:F49))</f>
        <v>2991.36</v>
      </c>
    </row>
    <row r="50" spans="1:7" ht="13" x14ac:dyDescent="0.15">
      <c r="A50" s="155" t="s">
        <v>42</v>
      </c>
      <c r="B50" s="155"/>
      <c r="C50" s="155"/>
      <c r="D50" s="55">
        <v>43740</v>
      </c>
      <c r="E50" s="54">
        <f t="shared" si="0"/>
        <v>2815.4</v>
      </c>
      <c r="F50" s="53">
        <f t="shared" si="1"/>
        <v>175.96</v>
      </c>
      <c r="G50" s="45">
        <f t="shared" si="2"/>
        <v>2991.36</v>
      </c>
    </row>
    <row r="51" spans="1:7" ht="13" x14ac:dyDescent="0.15">
      <c r="A51" s="155" t="s">
        <v>43</v>
      </c>
      <c r="B51" s="155"/>
      <c r="C51" s="155"/>
      <c r="D51" s="55">
        <v>43771</v>
      </c>
      <c r="E51" s="54">
        <f t="shared" si="0"/>
        <v>2815.4</v>
      </c>
      <c r="F51" s="53">
        <f t="shared" si="1"/>
        <v>175.96</v>
      </c>
      <c r="G51" s="45">
        <f t="shared" si="2"/>
        <v>2991.36</v>
      </c>
    </row>
    <row r="52" spans="1:7" ht="13" x14ac:dyDescent="0.15">
      <c r="A52" s="155" t="s">
        <v>44</v>
      </c>
      <c r="B52" s="155"/>
      <c r="C52" s="155"/>
      <c r="D52" s="55">
        <v>43801</v>
      </c>
      <c r="E52" s="54">
        <f t="shared" si="0"/>
        <v>2815.4</v>
      </c>
      <c r="F52" s="53">
        <f t="shared" si="1"/>
        <v>175.96</v>
      </c>
      <c r="G52" s="45">
        <f t="shared" si="2"/>
        <v>2991.36</v>
      </c>
    </row>
    <row r="53" spans="1:7" ht="13" x14ac:dyDescent="0.15">
      <c r="A53" s="155" t="s">
        <v>45</v>
      </c>
      <c r="B53" s="155"/>
      <c r="C53" s="155"/>
      <c r="D53" s="55">
        <v>43832</v>
      </c>
      <c r="E53" s="54">
        <f t="shared" si="0"/>
        <v>2815.4</v>
      </c>
      <c r="F53" s="53">
        <f t="shared" si="1"/>
        <v>175.96</v>
      </c>
      <c r="G53" s="45">
        <f t="shared" si="2"/>
        <v>2991.36</v>
      </c>
    </row>
    <row r="54" spans="1:7" ht="13" x14ac:dyDescent="0.15">
      <c r="A54" s="155" t="s">
        <v>46</v>
      </c>
      <c r="B54" s="155"/>
      <c r="C54" s="155"/>
      <c r="D54" s="55">
        <v>43863</v>
      </c>
      <c r="E54" s="54">
        <f t="shared" si="0"/>
        <v>2815.4</v>
      </c>
      <c r="F54" s="53">
        <f t="shared" si="1"/>
        <v>175.96</v>
      </c>
      <c r="G54" s="45">
        <f t="shared" si="2"/>
        <v>2991.36</v>
      </c>
    </row>
    <row r="55" spans="1:7" ht="13" x14ac:dyDescent="0.15">
      <c r="A55" s="155" t="s">
        <v>47</v>
      </c>
      <c r="B55" s="155"/>
      <c r="C55" s="155"/>
      <c r="D55" s="55">
        <v>43892</v>
      </c>
      <c r="E55" s="54">
        <f t="shared" si="0"/>
        <v>2815.4</v>
      </c>
      <c r="F55" s="53">
        <f t="shared" si="1"/>
        <v>175.96</v>
      </c>
      <c r="G55" s="45">
        <f t="shared" si="2"/>
        <v>2991.36</v>
      </c>
    </row>
    <row r="56" spans="1:7" ht="13" x14ac:dyDescent="0.15">
      <c r="A56" s="155" t="s">
        <v>48</v>
      </c>
      <c r="B56" s="155"/>
      <c r="C56" s="155"/>
      <c r="D56" s="55">
        <v>43923</v>
      </c>
      <c r="E56" s="54">
        <f t="shared" si="0"/>
        <v>2815.4</v>
      </c>
      <c r="F56" s="53">
        <f t="shared" si="1"/>
        <v>175.96</v>
      </c>
      <c r="G56" s="45">
        <f t="shared" si="2"/>
        <v>2991.36</v>
      </c>
    </row>
    <row r="57" spans="1:7" ht="13" x14ac:dyDescent="0.15">
      <c r="A57" s="155" t="s">
        <v>49</v>
      </c>
      <c r="B57" s="155"/>
      <c r="C57" s="155"/>
      <c r="D57" s="55">
        <v>43953</v>
      </c>
      <c r="E57" s="54">
        <f t="shared" ref="E57:E71" si="3">IF($A$47&lt;VALUE(LEFT(A57,2))," ",IF($A$47=VALUE(LEFT(A57,2)),$G$43-($E$48*($A$47-1)),E56))</f>
        <v>2815.4</v>
      </c>
      <c r="F57" s="53">
        <f t="shared" ref="F57:F71" si="4">IF($A$47&lt;VALUE(LEFT(A57,2))," ",IF($A$47=VALUE(LEFT(A57,2)),$G$44-($F$48*($A$47-1)),F56))</f>
        <v>175.96</v>
      </c>
      <c r="G57" s="45">
        <f t="shared" ref="G57:G71" si="5">IF($A$47&lt;VALUE(LEFT(A57,2))," ",SUM(E57:F57))</f>
        <v>2991.36</v>
      </c>
    </row>
    <row r="58" spans="1:7" ht="13" x14ac:dyDescent="0.15">
      <c r="A58" s="155" t="s">
        <v>50</v>
      </c>
      <c r="B58" s="155"/>
      <c r="C58" s="155"/>
      <c r="D58" s="55">
        <v>43984</v>
      </c>
      <c r="E58" s="54">
        <f t="shared" si="3"/>
        <v>2815.4</v>
      </c>
      <c r="F58" s="53">
        <f t="shared" si="4"/>
        <v>175.96</v>
      </c>
      <c r="G58" s="45">
        <f t="shared" si="5"/>
        <v>2991.36</v>
      </c>
    </row>
    <row r="59" spans="1:7" ht="13" x14ac:dyDescent="0.15">
      <c r="A59" s="155" t="s">
        <v>51</v>
      </c>
      <c r="B59" s="155"/>
      <c r="C59" s="155"/>
      <c r="D59" s="55">
        <v>44014</v>
      </c>
      <c r="E59" s="54">
        <f t="shared" si="3"/>
        <v>2815.4</v>
      </c>
      <c r="F59" s="53">
        <f t="shared" si="4"/>
        <v>175.96</v>
      </c>
      <c r="G59" s="45">
        <f t="shared" si="5"/>
        <v>2991.36</v>
      </c>
    </row>
    <row r="60" spans="1:7" ht="13" x14ac:dyDescent="0.15">
      <c r="A60" s="155" t="s">
        <v>52</v>
      </c>
      <c r="B60" s="155"/>
      <c r="C60" s="155"/>
      <c r="D60" s="55">
        <v>44045</v>
      </c>
      <c r="E60" s="54">
        <f t="shared" si="3"/>
        <v>2815.4</v>
      </c>
      <c r="F60" s="53">
        <f t="shared" si="4"/>
        <v>175.96</v>
      </c>
      <c r="G60" s="45">
        <f t="shared" si="5"/>
        <v>2991.36</v>
      </c>
    </row>
    <row r="61" spans="1:7" ht="13" x14ac:dyDescent="0.15">
      <c r="A61" s="155" t="s">
        <v>53</v>
      </c>
      <c r="B61" s="155"/>
      <c r="C61" s="155"/>
      <c r="D61" s="55">
        <v>44076</v>
      </c>
      <c r="E61" s="54">
        <f t="shared" si="3"/>
        <v>2815.4</v>
      </c>
      <c r="F61" s="53">
        <f t="shared" si="4"/>
        <v>175.96</v>
      </c>
      <c r="G61" s="45">
        <f t="shared" si="5"/>
        <v>2991.36</v>
      </c>
    </row>
    <row r="62" spans="1:7" ht="13" x14ac:dyDescent="0.15">
      <c r="A62" s="155" t="s">
        <v>54</v>
      </c>
      <c r="B62" s="155"/>
      <c r="C62" s="155"/>
      <c r="D62" s="55">
        <v>44106</v>
      </c>
      <c r="E62" s="54">
        <f t="shared" si="3"/>
        <v>2815.4</v>
      </c>
      <c r="F62" s="53">
        <f t="shared" si="4"/>
        <v>175.96</v>
      </c>
      <c r="G62" s="45">
        <f t="shared" si="5"/>
        <v>2991.36</v>
      </c>
    </row>
    <row r="63" spans="1:7" ht="13" x14ac:dyDescent="0.15">
      <c r="A63" s="155" t="s">
        <v>55</v>
      </c>
      <c r="B63" s="155"/>
      <c r="C63" s="155"/>
      <c r="D63" s="55">
        <v>44137</v>
      </c>
      <c r="E63" s="54">
        <f t="shared" si="3"/>
        <v>2815.4</v>
      </c>
      <c r="F63" s="53">
        <f t="shared" si="4"/>
        <v>175.96</v>
      </c>
      <c r="G63" s="45">
        <f t="shared" si="5"/>
        <v>2991.36</v>
      </c>
    </row>
    <row r="64" spans="1:7" ht="13" x14ac:dyDescent="0.15">
      <c r="A64" s="155" t="s">
        <v>56</v>
      </c>
      <c r="B64" s="155"/>
      <c r="C64" s="155"/>
      <c r="D64" s="55">
        <v>44167</v>
      </c>
      <c r="E64" s="54">
        <f t="shared" si="3"/>
        <v>2815.4</v>
      </c>
      <c r="F64" s="53">
        <f t="shared" si="4"/>
        <v>175.96</v>
      </c>
      <c r="G64" s="45">
        <f t="shared" si="5"/>
        <v>2991.36</v>
      </c>
    </row>
    <row r="65" spans="1:7" ht="13" x14ac:dyDescent="0.15">
      <c r="A65" s="155" t="s">
        <v>57</v>
      </c>
      <c r="B65" s="155"/>
      <c r="C65" s="155"/>
      <c r="D65" s="55">
        <v>44198</v>
      </c>
      <c r="E65" s="54">
        <f t="shared" si="3"/>
        <v>2815.4</v>
      </c>
      <c r="F65" s="53">
        <f t="shared" si="4"/>
        <v>175.96</v>
      </c>
      <c r="G65" s="45">
        <f t="shared" si="5"/>
        <v>2991.36</v>
      </c>
    </row>
    <row r="66" spans="1:7" ht="13" x14ac:dyDescent="0.15">
      <c r="A66" s="155" t="s">
        <v>58</v>
      </c>
      <c r="B66" s="155"/>
      <c r="C66" s="155"/>
      <c r="D66" s="55">
        <v>44229</v>
      </c>
      <c r="E66" s="54">
        <f t="shared" si="3"/>
        <v>2815.4</v>
      </c>
      <c r="F66" s="53">
        <f t="shared" si="4"/>
        <v>175.96</v>
      </c>
      <c r="G66" s="45">
        <f t="shared" si="5"/>
        <v>2991.36</v>
      </c>
    </row>
    <row r="67" spans="1:7" ht="13" x14ac:dyDescent="0.15">
      <c r="A67" s="155" t="s">
        <v>59</v>
      </c>
      <c r="B67" s="155"/>
      <c r="C67" s="155"/>
      <c r="D67" s="55">
        <v>44257</v>
      </c>
      <c r="E67" s="54">
        <f t="shared" si="3"/>
        <v>2815.4</v>
      </c>
      <c r="F67" s="53">
        <f t="shared" si="4"/>
        <v>175.96</v>
      </c>
      <c r="G67" s="45">
        <f t="shared" si="5"/>
        <v>2991.36</v>
      </c>
    </row>
    <row r="68" spans="1:7" ht="13" x14ac:dyDescent="0.15">
      <c r="A68" s="155" t="s">
        <v>60</v>
      </c>
      <c r="B68" s="155"/>
      <c r="C68" s="155"/>
      <c r="D68" s="55">
        <v>44288</v>
      </c>
      <c r="E68" s="54">
        <f t="shared" si="3"/>
        <v>2815.4</v>
      </c>
      <c r="F68" s="53">
        <f t="shared" si="4"/>
        <v>175.96</v>
      </c>
      <c r="G68" s="45">
        <f t="shared" si="5"/>
        <v>2991.36</v>
      </c>
    </row>
    <row r="69" spans="1:7" ht="13" x14ac:dyDescent="0.15">
      <c r="A69" s="155" t="s">
        <v>61</v>
      </c>
      <c r="B69" s="155"/>
      <c r="C69" s="155"/>
      <c r="D69" s="55">
        <v>44318</v>
      </c>
      <c r="E69" s="54">
        <f t="shared" si="3"/>
        <v>2815.4</v>
      </c>
      <c r="F69" s="53">
        <f t="shared" si="4"/>
        <v>175.96</v>
      </c>
      <c r="G69" s="45">
        <f t="shared" si="5"/>
        <v>2991.36</v>
      </c>
    </row>
    <row r="70" spans="1:7" ht="13" x14ac:dyDescent="0.15">
      <c r="A70" s="155" t="s">
        <v>62</v>
      </c>
      <c r="B70" s="155"/>
      <c r="C70" s="155"/>
      <c r="D70" s="55">
        <v>44349</v>
      </c>
      <c r="E70" s="54">
        <f t="shared" si="3"/>
        <v>2815.4</v>
      </c>
      <c r="F70" s="53">
        <f t="shared" si="4"/>
        <v>175.96</v>
      </c>
      <c r="G70" s="45">
        <f t="shared" si="5"/>
        <v>2991.36</v>
      </c>
    </row>
    <row r="71" spans="1:7" ht="13" x14ac:dyDescent="0.15">
      <c r="A71" s="155" t="s">
        <v>63</v>
      </c>
      <c r="B71" s="155"/>
      <c r="C71" s="155"/>
      <c r="D71" s="55">
        <v>44379</v>
      </c>
      <c r="E71" s="54">
        <f t="shared" si="3"/>
        <v>2815.4</v>
      </c>
      <c r="F71" s="53">
        <f t="shared" si="4"/>
        <v>175.96</v>
      </c>
      <c r="G71" s="45">
        <f t="shared" si="5"/>
        <v>2991.36</v>
      </c>
    </row>
    <row r="72" spans="1:7" ht="13" x14ac:dyDescent="0.15">
      <c r="A72" s="155" t="s">
        <v>64</v>
      </c>
      <c r="B72" s="155"/>
      <c r="C72" s="155"/>
      <c r="D72" s="55">
        <v>44410</v>
      </c>
      <c r="E72" s="54">
        <f t="shared" ref="E72:E81" si="6">IF($A$47&lt;VALUE(LEFT(A72,2))," ",IF($A$47=VALUE(LEFT(A72,2)),$G$43-($E$48*($A$47-1)),E71))</f>
        <v>2815.4</v>
      </c>
      <c r="F72" s="53">
        <f t="shared" ref="F72:F81" si="7">IF($A$47&lt;VALUE(LEFT(A72,2))," ",IF($A$47=VALUE(LEFT(A72,2)),$G$44-($F$48*($A$47-1)),F71))</f>
        <v>175.96</v>
      </c>
      <c r="G72" s="45">
        <f t="shared" ref="G72:G81" si="8">IF($A$47&lt;VALUE(LEFT(A72,2))," ",SUM(E72:F72))</f>
        <v>2991.36</v>
      </c>
    </row>
    <row r="73" spans="1:7" ht="13" x14ac:dyDescent="0.15">
      <c r="A73" s="155" t="s">
        <v>65</v>
      </c>
      <c r="B73" s="155"/>
      <c r="C73" s="155"/>
      <c r="D73" s="55">
        <v>44441</v>
      </c>
      <c r="E73" s="54">
        <f t="shared" si="6"/>
        <v>2815.4</v>
      </c>
      <c r="F73" s="53">
        <f t="shared" si="7"/>
        <v>175.96</v>
      </c>
      <c r="G73" s="45">
        <f t="shared" si="8"/>
        <v>2991.36</v>
      </c>
    </row>
    <row r="74" spans="1:7" ht="13" x14ac:dyDescent="0.15">
      <c r="A74" s="155" t="s">
        <v>66</v>
      </c>
      <c r="B74" s="155"/>
      <c r="C74" s="155"/>
      <c r="D74" s="55">
        <v>44471</v>
      </c>
      <c r="E74" s="54">
        <f t="shared" si="6"/>
        <v>2815.4</v>
      </c>
      <c r="F74" s="53">
        <f t="shared" si="7"/>
        <v>175.96</v>
      </c>
      <c r="G74" s="45">
        <f t="shared" si="8"/>
        <v>2991.36</v>
      </c>
    </row>
    <row r="75" spans="1:7" ht="13" x14ac:dyDescent="0.15">
      <c r="A75" s="155" t="s">
        <v>67</v>
      </c>
      <c r="B75" s="155"/>
      <c r="C75" s="155"/>
      <c r="D75" s="55">
        <v>44502</v>
      </c>
      <c r="E75" s="54">
        <f t="shared" si="6"/>
        <v>2815.4</v>
      </c>
      <c r="F75" s="53">
        <f t="shared" si="7"/>
        <v>175.96</v>
      </c>
      <c r="G75" s="45">
        <f t="shared" si="8"/>
        <v>2991.36</v>
      </c>
    </row>
    <row r="76" spans="1:7" ht="13" x14ac:dyDescent="0.15">
      <c r="A76" s="155" t="s">
        <v>68</v>
      </c>
      <c r="B76" s="155"/>
      <c r="C76" s="155"/>
      <c r="D76" s="55">
        <v>44532</v>
      </c>
      <c r="E76" s="54">
        <f t="shared" si="6"/>
        <v>2815.4</v>
      </c>
      <c r="F76" s="53">
        <f t="shared" si="7"/>
        <v>175.96</v>
      </c>
      <c r="G76" s="45">
        <f t="shared" si="8"/>
        <v>2991.36</v>
      </c>
    </row>
    <row r="77" spans="1:7" ht="13" x14ac:dyDescent="0.15">
      <c r="A77" s="155" t="s">
        <v>69</v>
      </c>
      <c r="B77" s="155"/>
      <c r="C77" s="155"/>
      <c r="D77" s="55">
        <v>44563</v>
      </c>
      <c r="E77" s="54">
        <f t="shared" si="6"/>
        <v>2815.4</v>
      </c>
      <c r="F77" s="53">
        <f t="shared" si="7"/>
        <v>175.96</v>
      </c>
      <c r="G77" s="45">
        <f t="shared" si="8"/>
        <v>2991.36</v>
      </c>
    </row>
    <row r="78" spans="1:7" ht="13" x14ac:dyDescent="0.15">
      <c r="A78" s="155" t="s">
        <v>70</v>
      </c>
      <c r="B78" s="155"/>
      <c r="C78" s="155"/>
      <c r="D78" s="55">
        <v>44594</v>
      </c>
      <c r="E78" s="54">
        <f t="shared" si="6"/>
        <v>2815.4</v>
      </c>
      <c r="F78" s="53">
        <f t="shared" si="7"/>
        <v>175.96</v>
      </c>
      <c r="G78" s="45">
        <f t="shared" si="8"/>
        <v>2991.36</v>
      </c>
    </row>
    <row r="79" spans="1:7" ht="13" x14ac:dyDescent="0.15">
      <c r="A79" s="155" t="s">
        <v>71</v>
      </c>
      <c r="B79" s="155"/>
      <c r="C79" s="155"/>
      <c r="D79" s="55">
        <v>44622</v>
      </c>
      <c r="E79" s="54">
        <f t="shared" si="6"/>
        <v>2815.4</v>
      </c>
      <c r="F79" s="53">
        <f t="shared" si="7"/>
        <v>175.96</v>
      </c>
      <c r="G79" s="45">
        <f t="shared" si="8"/>
        <v>2991.36</v>
      </c>
    </row>
    <row r="80" spans="1:7" ht="13" x14ac:dyDescent="0.15">
      <c r="A80" s="155" t="s">
        <v>72</v>
      </c>
      <c r="B80" s="155"/>
      <c r="C80" s="155"/>
      <c r="D80" s="55">
        <v>44653</v>
      </c>
      <c r="E80" s="54">
        <f t="shared" si="6"/>
        <v>2815.4</v>
      </c>
      <c r="F80" s="53">
        <f t="shared" si="7"/>
        <v>175.96</v>
      </c>
      <c r="G80" s="45">
        <f t="shared" si="8"/>
        <v>2991.36</v>
      </c>
    </row>
    <row r="81" spans="1:7" ht="13" x14ac:dyDescent="0.15">
      <c r="A81" s="155" t="s">
        <v>73</v>
      </c>
      <c r="B81" s="155"/>
      <c r="C81" s="155"/>
      <c r="D81" s="55">
        <v>44683</v>
      </c>
      <c r="E81" s="54">
        <f t="shared" si="6"/>
        <v>2815.4</v>
      </c>
      <c r="F81" s="53">
        <f t="shared" si="7"/>
        <v>175.96</v>
      </c>
      <c r="G81" s="45">
        <f t="shared" si="8"/>
        <v>2991.36</v>
      </c>
    </row>
    <row r="82" spans="1:7" ht="13" x14ac:dyDescent="0.15">
      <c r="A82" s="155" t="s">
        <v>74</v>
      </c>
      <c r="B82" s="155"/>
      <c r="C82" s="155"/>
      <c r="D82" s="55">
        <v>44714</v>
      </c>
      <c r="E82" s="54">
        <f>IF($A$47&lt;VALUE(LEFT(A82,2))," ",IF($A$47=VALUE(LEFT(A82,2)),$G$43-($E$48*($A$47-1)),E81))</f>
        <v>2815.4</v>
      </c>
      <c r="F82" s="53">
        <f>IF($A$47&lt;VALUE(LEFT(A82,2))," ",IF($A$47=VALUE(LEFT(A82,2)),$G$44-($F$48*($A$47-1)),F81))</f>
        <v>175.96</v>
      </c>
      <c r="G82" s="45">
        <f>IF($A$47&lt;VALUE(LEFT(A82,2))," ",SUM(E82:F82))</f>
        <v>2991.36</v>
      </c>
    </row>
    <row r="83" spans="1:7" ht="13" x14ac:dyDescent="0.15">
      <c r="A83" s="155" t="s">
        <v>75</v>
      </c>
      <c r="B83" s="155"/>
      <c r="C83" s="155"/>
      <c r="D83" s="55">
        <v>44744</v>
      </c>
      <c r="E83" s="54">
        <f>IF($A$47&lt;VALUE(LEFT(A83,2))," ",IF($A$47=VALUE(LEFT(A83,2)),$G$43-($E$48*($A$47-1)),E82))</f>
        <v>2815.4</v>
      </c>
      <c r="F83" s="53">
        <f>IF($A$47&lt;VALUE(LEFT(A83,2))," ",IF($A$47=VALUE(LEFT(A83,2)),$G$44-($F$48*($A$47-1)),F82))</f>
        <v>175.96</v>
      </c>
      <c r="G83" s="45">
        <f>IF($A$47&lt;VALUE(LEFT(A83,2))," ",SUM(E83:F83))</f>
        <v>2991.36</v>
      </c>
    </row>
    <row r="84" spans="1:7" ht="13" x14ac:dyDescent="0.15">
      <c r="A84" s="155" t="s">
        <v>76</v>
      </c>
      <c r="B84" s="155"/>
      <c r="C84" s="155"/>
      <c r="D84" s="55">
        <v>44775</v>
      </c>
      <c r="E84" s="54">
        <f t="shared" ref="E84:E101" si="9">IF($A$47&lt;VALUE(LEFT(A84,2))," ",IF($A$47=VALUE(LEFT(A84,2)),$G$43-($E$48*($A$47-1)),E83))</f>
        <v>2815.4</v>
      </c>
      <c r="F84" s="53">
        <f t="shared" ref="F84:F101" si="10">IF($A$47&lt;VALUE(LEFT(A84,2))," ",IF($A$47=VALUE(LEFT(A84,2)),$G$44-($F$48*($A$47-1)),F83))</f>
        <v>175.96</v>
      </c>
      <c r="G84" s="45">
        <f t="shared" ref="G84:G101" si="11">IF($A$47&lt;VALUE(LEFT(A84,2))," ",SUM(E84:F84))</f>
        <v>2991.36</v>
      </c>
    </row>
    <row r="85" spans="1:7" ht="13" x14ac:dyDescent="0.15">
      <c r="A85" s="155" t="s">
        <v>77</v>
      </c>
      <c r="B85" s="155"/>
      <c r="C85" s="155"/>
      <c r="D85" s="55">
        <v>44806</v>
      </c>
      <c r="E85" s="54">
        <f t="shared" si="9"/>
        <v>2815.4</v>
      </c>
      <c r="F85" s="53">
        <f t="shared" si="10"/>
        <v>175.96</v>
      </c>
      <c r="G85" s="45">
        <f t="shared" si="11"/>
        <v>2991.36</v>
      </c>
    </row>
    <row r="86" spans="1:7" ht="13" x14ac:dyDescent="0.15">
      <c r="A86" s="155" t="s">
        <v>78</v>
      </c>
      <c r="B86" s="155"/>
      <c r="C86" s="155"/>
      <c r="D86" s="55">
        <v>44836</v>
      </c>
      <c r="E86" s="54">
        <f t="shared" si="9"/>
        <v>2815.4</v>
      </c>
      <c r="F86" s="53">
        <f t="shared" si="10"/>
        <v>175.96</v>
      </c>
      <c r="G86" s="45">
        <f t="shared" si="11"/>
        <v>2991.36</v>
      </c>
    </row>
    <row r="87" spans="1:7" ht="13" x14ac:dyDescent="0.15">
      <c r="A87" s="155" t="s">
        <v>79</v>
      </c>
      <c r="B87" s="155"/>
      <c r="C87" s="155"/>
      <c r="D87" s="55">
        <v>44867</v>
      </c>
      <c r="E87" s="54">
        <f t="shared" si="9"/>
        <v>2815.4</v>
      </c>
      <c r="F87" s="53">
        <f t="shared" si="10"/>
        <v>175.96</v>
      </c>
      <c r="G87" s="45">
        <f t="shared" si="11"/>
        <v>2991.36</v>
      </c>
    </row>
    <row r="88" spans="1:7" ht="13" x14ac:dyDescent="0.15">
      <c r="A88" s="155" t="s">
        <v>80</v>
      </c>
      <c r="B88" s="155"/>
      <c r="C88" s="155"/>
      <c r="D88" s="55">
        <v>44897</v>
      </c>
      <c r="E88" s="54">
        <f t="shared" si="9"/>
        <v>2815.4</v>
      </c>
      <c r="F88" s="53">
        <f t="shared" si="10"/>
        <v>175.96</v>
      </c>
      <c r="G88" s="45">
        <f t="shared" si="11"/>
        <v>2991.36</v>
      </c>
    </row>
    <row r="89" spans="1:7" ht="13" x14ac:dyDescent="0.15">
      <c r="A89" s="155" t="s">
        <v>81</v>
      </c>
      <c r="B89" s="155"/>
      <c r="C89" s="155"/>
      <c r="D89" s="55">
        <v>44928</v>
      </c>
      <c r="E89" s="54">
        <f t="shared" si="9"/>
        <v>2815.4</v>
      </c>
      <c r="F89" s="53">
        <f t="shared" si="10"/>
        <v>175.96</v>
      </c>
      <c r="G89" s="45">
        <f t="shared" si="11"/>
        <v>2991.36</v>
      </c>
    </row>
    <row r="90" spans="1:7" ht="13" x14ac:dyDescent="0.15">
      <c r="A90" s="155" t="s">
        <v>82</v>
      </c>
      <c r="B90" s="155"/>
      <c r="C90" s="155"/>
      <c r="D90" s="55">
        <v>44959</v>
      </c>
      <c r="E90" s="54">
        <f t="shared" si="9"/>
        <v>2815.4</v>
      </c>
      <c r="F90" s="53">
        <f t="shared" si="10"/>
        <v>175.96</v>
      </c>
      <c r="G90" s="45">
        <f t="shared" si="11"/>
        <v>2991.36</v>
      </c>
    </row>
    <row r="91" spans="1:7" ht="13" x14ac:dyDescent="0.15">
      <c r="A91" s="155" t="s">
        <v>83</v>
      </c>
      <c r="B91" s="155"/>
      <c r="C91" s="155"/>
      <c r="D91" s="55">
        <v>44987</v>
      </c>
      <c r="E91" s="54">
        <f t="shared" si="9"/>
        <v>2815.4</v>
      </c>
      <c r="F91" s="53">
        <f t="shared" si="10"/>
        <v>175.96</v>
      </c>
      <c r="G91" s="45">
        <f t="shared" si="11"/>
        <v>2991.36</v>
      </c>
    </row>
    <row r="92" spans="1:7" ht="13" x14ac:dyDescent="0.15">
      <c r="A92" s="155" t="s">
        <v>84</v>
      </c>
      <c r="B92" s="155"/>
      <c r="C92" s="155"/>
      <c r="D92" s="55">
        <v>45018</v>
      </c>
      <c r="E92" s="54">
        <f t="shared" si="9"/>
        <v>2815.4</v>
      </c>
      <c r="F92" s="53">
        <f t="shared" si="10"/>
        <v>175.96</v>
      </c>
      <c r="G92" s="45">
        <f t="shared" si="11"/>
        <v>2991.36</v>
      </c>
    </row>
    <row r="93" spans="1:7" ht="13" x14ac:dyDescent="0.15">
      <c r="A93" s="155" t="s">
        <v>85</v>
      </c>
      <c r="B93" s="155"/>
      <c r="C93" s="155"/>
      <c r="D93" s="55">
        <v>45048</v>
      </c>
      <c r="E93" s="54">
        <f t="shared" si="9"/>
        <v>2815.4</v>
      </c>
      <c r="F93" s="53">
        <f t="shared" si="10"/>
        <v>175.96</v>
      </c>
      <c r="G93" s="45">
        <f t="shared" si="11"/>
        <v>2991.36</v>
      </c>
    </row>
    <row r="94" spans="1:7" ht="13" x14ac:dyDescent="0.15">
      <c r="A94" s="155" t="s">
        <v>86</v>
      </c>
      <c r="B94" s="155"/>
      <c r="C94" s="155"/>
      <c r="D94" s="55">
        <v>45079</v>
      </c>
      <c r="E94" s="54">
        <f t="shared" si="9"/>
        <v>2815.4</v>
      </c>
      <c r="F94" s="53">
        <f t="shared" si="10"/>
        <v>175.96</v>
      </c>
      <c r="G94" s="45">
        <f t="shared" si="11"/>
        <v>2991.36</v>
      </c>
    </row>
    <row r="95" spans="1:7" ht="13" x14ac:dyDescent="0.15">
      <c r="A95" s="155" t="s">
        <v>87</v>
      </c>
      <c r="B95" s="155"/>
      <c r="C95" s="155"/>
      <c r="D95" s="55">
        <v>45109</v>
      </c>
      <c r="E95" s="54">
        <f t="shared" si="9"/>
        <v>2815.3999999999942</v>
      </c>
      <c r="F95" s="53">
        <f t="shared" si="10"/>
        <v>176.07999999999993</v>
      </c>
      <c r="G95" s="45">
        <f t="shared" si="11"/>
        <v>2991.4799999999941</v>
      </c>
    </row>
    <row r="96" spans="1:7" ht="13" hidden="1" x14ac:dyDescent="0.15">
      <c r="A96" s="155" t="s">
        <v>88</v>
      </c>
      <c r="B96" s="155"/>
      <c r="C96" s="155"/>
      <c r="D96" s="55">
        <v>44813</v>
      </c>
      <c r="E96" s="54" t="str">
        <f t="shared" si="9"/>
        <v xml:space="preserve"> </v>
      </c>
      <c r="F96" s="53" t="str">
        <f t="shared" si="10"/>
        <v xml:space="preserve"> </v>
      </c>
      <c r="G96" s="45" t="str">
        <f t="shared" si="11"/>
        <v xml:space="preserve"> </v>
      </c>
    </row>
    <row r="97" spans="1:9" ht="13" hidden="1" x14ac:dyDescent="0.15">
      <c r="A97" s="155" t="s">
        <v>89</v>
      </c>
      <c r="B97" s="155"/>
      <c r="C97" s="155"/>
      <c r="D97" s="55">
        <v>44843</v>
      </c>
      <c r="E97" s="54" t="str">
        <f t="shared" si="9"/>
        <v xml:space="preserve"> </v>
      </c>
      <c r="F97" s="53" t="str">
        <f t="shared" si="10"/>
        <v xml:space="preserve"> </v>
      </c>
      <c r="G97" s="45" t="str">
        <f t="shared" si="11"/>
        <v xml:space="preserve"> </v>
      </c>
    </row>
    <row r="98" spans="1:9" ht="13" hidden="1" x14ac:dyDescent="0.15">
      <c r="A98" s="155" t="s">
        <v>90</v>
      </c>
      <c r="B98" s="155"/>
      <c r="C98" s="155"/>
      <c r="D98" s="55">
        <v>44874</v>
      </c>
      <c r="E98" s="54" t="str">
        <f t="shared" si="9"/>
        <v xml:space="preserve"> </v>
      </c>
      <c r="F98" s="53" t="str">
        <f t="shared" si="10"/>
        <v xml:space="preserve"> </v>
      </c>
      <c r="G98" s="45" t="str">
        <f t="shared" si="11"/>
        <v xml:space="preserve"> </v>
      </c>
    </row>
    <row r="99" spans="1:9" ht="13" hidden="1" x14ac:dyDescent="0.15">
      <c r="A99" s="155" t="s">
        <v>91</v>
      </c>
      <c r="B99" s="155"/>
      <c r="C99" s="155"/>
      <c r="D99" s="55">
        <v>44904</v>
      </c>
      <c r="E99" s="54" t="str">
        <f t="shared" si="9"/>
        <v xml:space="preserve"> </v>
      </c>
      <c r="F99" s="53" t="str">
        <f t="shared" si="10"/>
        <v xml:space="preserve"> </v>
      </c>
      <c r="G99" s="45" t="str">
        <f t="shared" si="11"/>
        <v xml:space="preserve"> </v>
      </c>
    </row>
    <row r="100" spans="1:9" ht="13" hidden="1" x14ac:dyDescent="0.15">
      <c r="A100" s="155" t="s">
        <v>123</v>
      </c>
      <c r="B100" s="155"/>
      <c r="C100" s="155"/>
      <c r="D100" s="55">
        <v>44935</v>
      </c>
      <c r="E100" s="54" t="str">
        <f t="shared" si="9"/>
        <v xml:space="preserve"> </v>
      </c>
      <c r="F100" s="53" t="str">
        <f t="shared" si="10"/>
        <v xml:space="preserve"> </v>
      </c>
      <c r="G100" s="45" t="str">
        <f t="shared" si="11"/>
        <v xml:space="preserve"> </v>
      </c>
    </row>
    <row r="101" spans="1:9" ht="13" hidden="1" x14ac:dyDescent="0.15">
      <c r="A101" s="155" t="s">
        <v>124</v>
      </c>
      <c r="B101" s="155"/>
      <c r="C101" s="155"/>
      <c r="D101" s="55">
        <v>44966</v>
      </c>
      <c r="E101" s="54" t="str">
        <f t="shared" si="9"/>
        <v xml:space="preserve"> </v>
      </c>
      <c r="F101" s="53" t="str">
        <f t="shared" si="10"/>
        <v xml:space="preserve"> </v>
      </c>
      <c r="G101" s="45" t="str">
        <f t="shared" si="11"/>
        <v xml:space="preserve"> </v>
      </c>
    </row>
    <row r="102" spans="1:9" ht="13" hidden="1" x14ac:dyDescent="0.15">
      <c r="A102" s="128"/>
      <c r="B102" s="128"/>
      <c r="C102" s="128"/>
      <c r="D102" s="55"/>
      <c r="E102" s="54"/>
      <c r="F102" s="53"/>
      <c r="G102" s="45"/>
    </row>
    <row r="103" spans="1:9" ht="13" hidden="1" x14ac:dyDescent="0.15">
      <c r="A103" s="128"/>
      <c r="B103" s="128"/>
      <c r="C103" s="128"/>
      <c r="D103" s="55"/>
      <c r="E103" s="54"/>
      <c r="F103" s="53"/>
      <c r="G103" s="45"/>
    </row>
    <row r="104" spans="1:9" ht="13" hidden="1" x14ac:dyDescent="0.15">
      <c r="A104" s="128"/>
      <c r="B104" s="128"/>
      <c r="C104" s="128"/>
      <c r="D104" s="55"/>
      <c r="E104" s="54"/>
      <c r="F104" s="53"/>
      <c r="G104" s="45"/>
    </row>
    <row r="105" spans="1:9" ht="13" x14ac:dyDescent="0.15">
      <c r="B105" s="52"/>
      <c r="E105" s="51"/>
      <c r="F105" s="50"/>
      <c r="G105" s="49"/>
    </row>
    <row r="106" spans="1:9" ht="13" x14ac:dyDescent="0.15">
      <c r="A106" s="48" t="s">
        <v>92</v>
      </c>
    </row>
    <row r="107" spans="1:9" ht="13" x14ac:dyDescent="0.15">
      <c r="B107" s="41" t="s">
        <v>93</v>
      </c>
      <c r="F107" s="47">
        <f>D90</f>
        <v>44959</v>
      </c>
    </row>
    <row r="108" spans="1:9" ht="13" x14ac:dyDescent="0.15">
      <c r="B108" s="41" t="s">
        <v>94</v>
      </c>
      <c r="F108" s="47">
        <f>D95+31</f>
        <v>45140</v>
      </c>
      <c r="G108" s="46">
        <f>ROUND(((G24+G25)*((100-A33)/100))+(G29*(100-A33)/100),2)</f>
        <v>1148683.2</v>
      </c>
      <c r="I108" s="45"/>
    </row>
    <row r="109" spans="1:9" ht="13" x14ac:dyDescent="0.15">
      <c r="B109" s="41" t="s">
        <v>95</v>
      </c>
    </row>
    <row r="111" spans="1:9" ht="13" x14ac:dyDescent="0.15">
      <c r="A111" s="44" t="s">
        <v>96</v>
      </c>
      <c r="B111" s="43"/>
      <c r="C111" s="43"/>
      <c r="D111" s="43"/>
    </row>
    <row r="112" spans="1:9" ht="13" x14ac:dyDescent="0.15">
      <c r="A112" s="154" t="s">
        <v>97</v>
      </c>
      <c r="B112" s="154"/>
      <c r="C112" s="154"/>
      <c r="D112" s="154"/>
      <c r="E112" s="154"/>
      <c r="F112" s="154"/>
      <c r="G112" s="154"/>
    </row>
    <row r="113" spans="1:7" ht="13" x14ac:dyDescent="0.15">
      <c r="A113" s="43" t="s">
        <v>98</v>
      </c>
      <c r="B113" s="43"/>
      <c r="C113" s="43"/>
      <c r="D113" s="43"/>
    </row>
    <row r="114" spans="1:7" ht="13" x14ac:dyDescent="0.15">
      <c r="A114" s="43" t="s">
        <v>99</v>
      </c>
      <c r="B114" s="43"/>
      <c r="C114" s="43"/>
      <c r="D114" s="43"/>
    </row>
    <row r="115" spans="1:7" ht="13" x14ac:dyDescent="0.15">
      <c r="A115" s="43" t="s">
        <v>100</v>
      </c>
      <c r="B115" s="43"/>
      <c r="C115" s="43"/>
      <c r="D115" s="43"/>
    </row>
    <row r="116" spans="1:7" ht="13" x14ac:dyDescent="0.15">
      <c r="A116" s="127" t="s">
        <v>101</v>
      </c>
      <c r="B116" s="43"/>
      <c r="C116" s="43"/>
      <c r="D116" s="43"/>
    </row>
    <row r="117" spans="1:7" ht="13" x14ac:dyDescent="0.15">
      <c r="A117" s="127" t="s">
        <v>102</v>
      </c>
      <c r="B117" s="43"/>
      <c r="C117" s="43"/>
      <c r="D117" s="43"/>
    </row>
    <row r="118" spans="1:7" ht="13" x14ac:dyDescent="0.15">
      <c r="A118" s="127" t="s">
        <v>103</v>
      </c>
      <c r="B118" s="43"/>
      <c r="C118" s="43"/>
      <c r="D118" s="43"/>
    </row>
    <row r="119" spans="1:7" ht="13" x14ac:dyDescent="0.15">
      <c r="A119" s="127" t="s">
        <v>104</v>
      </c>
      <c r="B119" s="43"/>
      <c r="C119" s="43"/>
      <c r="D119" s="43"/>
    </row>
    <row r="120" spans="1:7" ht="13" x14ac:dyDescent="0.15">
      <c r="A120" s="127" t="s">
        <v>105</v>
      </c>
      <c r="B120" s="43"/>
      <c r="C120" s="43"/>
      <c r="D120" s="43"/>
    </row>
    <row r="121" spans="1:7" ht="13" x14ac:dyDescent="0.15">
      <c r="A121" s="154" t="s">
        <v>106</v>
      </c>
      <c r="B121" s="154"/>
      <c r="C121" s="154"/>
      <c r="D121" s="154"/>
      <c r="E121" s="154"/>
      <c r="F121" s="154"/>
      <c r="G121" s="154"/>
    </row>
    <row r="124" spans="1:7" ht="13" x14ac:dyDescent="0.15">
      <c r="A124" s="41" t="s">
        <v>107</v>
      </c>
      <c r="E124" s="41" t="s">
        <v>108</v>
      </c>
    </row>
    <row r="127" spans="1:7" ht="13" x14ac:dyDescent="0.15">
      <c r="A127" s="42"/>
      <c r="B127" s="42"/>
      <c r="C127" s="42"/>
      <c r="E127" s="42"/>
      <c r="F127" s="42"/>
      <c r="G127" s="42"/>
    </row>
    <row r="128" spans="1:7" ht="13" x14ac:dyDescent="0.15">
      <c r="A128" s="41" t="s">
        <v>109</v>
      </c>
      <c r="E128" s="41" t="s">
        <v>109</v>
      </c>
    </row>
    <row r="129" spans="1:5" ht="13" x14ac:dyDescent="0.15">
      <c r="A129" s="41" t="s">
        <v>110</v>
      </c>
      <c r="E129" s="41" t="s">
        <v>111</v>
      </c>
    </row>
    <row r="132" spans="1:5" ht="13" x14ac:dyDescent="0.15">
      <c r="A132" s="41" t="s">
        <v>112</v>
      </c>
    </row>
    <row r="135" spans="1:5" ht="13" x14ac:dyDescent="0.15">
      <c r="A135" s="42"/>
      <c r="B135" s="42"/>
      <c r="C135" s="42"/>
    </row>
    <row r="136" spans="1:5" ht="13" x14ac:dyDescent="0.15">
      <c r="A136" s="41" t="s">
        <v>109</v>
      </c>
    </row>
    <row r="137" spans="1:5" ht="13" x14ac:dyDescent="0.15">
      <c r="A137" s="41" t="s">
        <v>113</v>
      </c>
    </row>
  </sheetData>
  <mergeCells count="62"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3:G3"/>
    <mergeCell ref="A64:C64"/>
    <mergeCell ref="B47:C47"/>
    <mergeCell ref="A62:C62"/>
    <mergeCell ref="B2:F2"/>
    <mergeCell ref="A53:C53"/>
    <mergeCell ref="A58:C58"/>
    <mergeCell ref="A49:C49"/>
    <mergeCell ref="A61:C61"/>
    <mergeCell ref="F6:G6"/>
    <mergeCell ref="A48:C48"/>
    <mergeCell ref="A54:C54"/>
    <mergeCell ref="A57:C57"/>
    <mergeCell ref="A56:C56"/>
    <mergeCell ref="A59:C59"/>
    <mergeCell ref="A52:C52"/>
    <mergeCell ref="A69:C69"/>
    <mergeCell ref="A67:C67"/>
    <mergeCell ref="A66:C66"/>
    <mergeCell ref="A68:C68"/>
    <mergeCell ref="A71:C71"/>
    <mergeCell ref="A63:C63"/>
    <mergeCell ref="A121:G121"/>
    <mergeCell ref="B1:F1"/>
    <mergeCell ref="A60:C60"/>
    <mergeCell ref="A51:C51"/>
    <mergeCell ref="A70:C70"/>
    <mergeCell ref="A50:C50"/>
    <mergeCell ref="A112:G112"/>
    <mergeCell ref="A55:C55"/>
    <mergeCell ref="A65:C65"/>
    <mergeCell ref="F7:G7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9:C99"/>
    <mergeCell ref="A100:C100"/>
    <mergeCell ref="A101:C101"/>
    <mergeCell ref="A94:C94"/>
    <mergeCell ref="A95:C95"/>
    <mergeCell ref="A96:C96"/>
    <mergeCell ref="A97:C97"/>
    <mergeCell ref="A98:C98"/>
  </mergeCells>
  <conditionalFormatting sqref="B11 B25">
    <cfRule type="expression" dxfId="34" priority="1" stopIfTrue="1">
      <formula>G11=0</formula>
    </cfRule>
  </conditionalFormatting>
  <conditionalFormatting sqref="A49:C56">
    <cfRule type="expression" dxfId="33" priority="2" stopIfTrue="1">
      <formula>VALUE(NoDPSchedule)&lt;VALUE(LEFT(A49,1))</formula>
    </cfRule>
  </conditionalFormatting>
  <conditionalFormatting sqref="A57:C104">
    <cfRule type="expression" dxfId="32" priority="3" stopIfTrue="1">
      <formula>VALUE(NoDPSchedule)&lt;VALUE(LEFT(A57,2))</formula>
    </cfRule>
  </conditionalFormatting>
  <conditionalFormatting sqref="G11 G25">
    <cfRule type="expression" dxfId="31" priority="4" stopIfTrue="1">
      <formula>G11=0</formula>
    </cfRule>
  </conditionalFormatting>
  <conditionalFormatting sqref="D4">
    <cfRule type="expression" dxfId="30" priority="5" stopIfTrue="1">
      <formula>G5&lt;=TODAY()</formula>
    </cfRule>
  </conditionalFormatting>
  <printOptions horizontalCentered="1"/>
  <pageMargins left="0.23622047244094491" right="0.23622047244094491" top="0.51181102362204722" bottom="0.51181102362204722" header="0.51181102362204722" footer="0.51181102362204722"/>
  <pageSetup scale="54" orientation="portrait" horizontalDpi="4294967294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8"/>
  <sheetViews>
    <sheetView topLeftCell="A53" workbookViewId="0">
      <selection activeCell="D49" sqref="D49:D72"/>
    </sheetView>
  </sheetViews>
  <sheetFormatPr baseColWidth="10" defaultColWidth="12.33203125" defaultRowHeight="13" x14ac:dyDescent="0.15"/>
  <cols>
    <col min="1" max="3" width="12.33203125" style="41"/>
    <col min="4" max="4" width="15.33203125" style="41" customWidth="1"/>
    <col min="5" max="5" width="12.33203125" style="41"/>
    <col min="6" max="6" width="40.1640625" style="41" customWidth="1"/>
    <col min="7" max="7" width="18.6640625" style="41" customWidth="1"/>
    <col min="8" max="9" width="13.6640625" style="41" hidden="1" customWidth="1"/>
    <col min="10" max="10" width="13.6640625" style="41" customWidth="1"/>
    <col min="11" max="16384" width="12.33203125" style="41"/>
  </cols>
  <sheetData>
    <row r="1" spans="1:10" ht="14.25" customHeight="1" x14ac:dyDescent="0.2">
      <c r="A1" s="83"/>
      <c r="B1" s="157" t="s">
        <v>0</v>
      </c>
      <c r="C1" s="157"/>
      <c r="D1" s="157"/>
      <c r="E1" s="157"/>
      <c r="F1" s="157"/>
      <c r="G1" s="82"/>
    </row>
    <row r="2" spans="1:10" ht="14.25" customHeight="1" x14ac:dyDescent="0.15">
      <c r="A2" s="81"/>
      <c r="B2" s="158" t="s">
        <v>1</v>
      </c>
      <c r="C2" s="158"/>
      <c r="D2" s="158"/>
      <c r="E2" s="158"/>
      <c r="F2" s="158"/>
      <c r="G2" s="80"/>
    </row>
    <row r="3" spans="1:10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0" ht="15" customHeight="1" x14ac:dyDescent="0.15">
      <c r="A4" s="79">
        <f>IF(A48&lt;=12,12,A48)</f>
        <v>24</v>
      </c>
      <c r="B4" s="78"/>
      <c r="C4" s="78"/>
      <c r="D4" s="98" t="s">
        <v>115</v>
      </c>
      <c r="E4" s="78"/>
      <c r="F4" s="78"/>
      <c r="G4" s="77"/>
    </row>
    <row r="5" spans="1:10" ht="13.5" customHeight="1" x14ac:dyDescent="0.15">
      <c r="G5" s="76">
        <v>24</v>
      </c>
    </row>
    <row r="6" spans="1:10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</row>
    <row r="7" spans="1:10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</row>
    <row r="8" spans="1:10" ht="12.75" customHeight="1" x14ac:dyDescent="0.15"/>
    <row r="9" spans="1:10" ht="12.75" customHeight="1" x14ac:dyDescent="0.15"/>
    <row r="10" spans="1:10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</row>
    <row r="11" spans="1:10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160800</v>
      </c>
      <c r="H11" s="101">
        <f>G10-G11</f>
        <v>1340000</v>
      </c>
      <c r="I11" s="95"/>
      <c r="J11" s="95"/>
    </row>
    <row r="12" spans="1:10" hidden="1" x14ac:dyDescent="0.15">
      <c r="A12" s="62"/>
      <c r="B12" s="41" t="s">
        <v>133</v>
      </c>
      <c r="F12" s="72"/>
      <c r="G12" s="45"/>
      <c r="H12" s="101">
        <f>G11+G23</f>
        <v>160800</v>
      </c>
      <c r="I12" s="45">
        <f>SUM(G12:G23)</f>
        <v>0</v>
      </c>
      <c r="J12" s="45"/>
    </row>
    <row r="13" spans="1:10" hidden="1" x14ac:dyDescent="0.15">
      <c r="B13" s="41" t="s">
        <v>14</v>
      </c>
      <c r="I13" s="45"/>
      <c r="J13" s="45"/>
    </row>
    <row r="14" spans="1:10" hidden="1" x14ac:dyDescent="0.15">
      <c r="B14" s="41" t="s">
        <v>15</v>
      </c>
      <c r="G14" s="45"/>
      <c r="I14" s="45"/>
      <c r="J14" s="45"/>
    </row>
    <row r="15" spans="1:10" hidden="1" x14ac:dyDescent="0.15">
      <c r="B15" s="41" t="s">
        <v>16</v>
      </c>
      <c r="G15" s="45"/>
      <c r="I15" s="45"/>
    </row>
    <row r="16" spans="1:10" ht="14" hidden="1" x14ac:dyDescent="0.2">
      <c r="B16" s="41" t="s">
        <v>18</v>
      </c>
      <c r="D16" s="38" t="s">
        <v>119</v>
      </c>
      <c r="E16"/>
      <c r="F16"/>
      <c r="G16" s="45"/>
      <c r="H16" s="95">
        <f>G10-H12</f>
        <v>1340000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/>
      <c r="H18" s="45"/>
      <c r="I18" s="45"/>
      <c r="J18" s="45"/>
    </row>
    <row r="19" spans="1:10" hidden="1" x14ac:dyDescent="0.15">
      <c r="B19" s="41" t="s">
        <v>21</v>
      </c>
      <c r="G19" s="45"/>
      <c r="J19" s="45"/>
    </row>
    <row r="20" spans="1:10" hidden="1" x14ac:dyDescent="0.15">
      <c r="B20" s="41" t="s">
        <v>22</v>
      </c>
      <c r="G20" s="45"/>
      <c r="J20" s="45"/>
    </row>
    <row r="21" spans="1:10" hidden="1" x14ac:dyDescent="0.15">
      <c r="B21" s="41" t="s">
        <v>23</v>
      </c>
      <c r="G21" s="45"/>
      <c r="J21" s="45"/>
    </row>
    <row r="22" spans="1:10" hidden="1" x14ac:dyDescent="0.15">
      <c r="B22" s="41" t="s">
        <v>24</v>
      </c>
      <c r="G22" s="45"/>
      <c r="J22" s="45"/>
    </row>
    <row r="23" spans="1:10" hidden="1" x14ac:dyDescent="0.15">
      <c r="A23" s="62">
        <v>10</v>
      </c>
      <c r="B23" s="1" t="s">
        <v>131</v>
      </c>
      <c r="C23" s="1"/>
      <c r="D23" s="22" t="s">
        <v>132</v>
      </c>
      <c r="E23" s="1"/>
      <c r="F23" s="15"/>
      <c r="G23" s="45"/>
      <c r="H23" s="45"/>
      <c r="I23" s="45"/>
      <c r="J23" s="45"/>
    </row>
    <row r="24" spans="1:10" ht="13.5" customHeight="1" x14ac:dyDescent="0.15">
      <c r="F24" s="72"/>
      <c r="G24" s="71"/>
      <c r="J24" s="45"/>
    </row>
    <row r="25" spans="1:10" ht="13.5" customHeight="1" x14ac:dyDescent="0.15">
      <c r="A25" s="68" t="s">
        <v>25</v>
      </c>
      <c r="B25" s="70"/>
      <c r="C25" s="67"/>
      <c r="D25" s="67"/>
      <c r="E25" s="67"/>
      <c r="F25" s="65" t="s">
        <v>11</v>
      </c>
      <c r="G25" s="64">
        <f>(G10-G11)-SUM(G12:G23)</f>
        <v>1340000</v>
      </c>
    </row>
    <row r="26" spans="1:10" x14ac:dyDescent="0.15">
      <c r="A26" s="41" t="s">
        <v>26</v>
      </c>
      <c r="B26" s="41" t="s">
        <v>13</v>
      </c>
      <c r="G26" s="45">
        <f>ROUND(IF(ISERROR(FIND("PARKING",Model,1)),IF(G25&gt;3199200,G25*12%,0),G25*12%),2)</f>
        <v>160800</v>
      </c>
      <c r="I26" s="45"/>
    </row>
    <row r="27" spans="1:10" hidden="1" x14ac:dyDescent="0.15">
      <c r="A27" s="62">
        <v>7</v>
      </c>
      <c r="B27" s="41" t="s">
        <v>27</v>
      </c>
      <c r="G27" s="45">
        <f>ROUND(G25*(A27/100),2)</f>
        <v>93800</v>
      </c>
    </row>
    <row r="28" spans="1:10" hidden="1" x14ac:dyDescent="0.15">
      <c r="A28" s="62"/>
      <c r="B28" s="41" t="s">
        <v>28</v>
      </c>
      <c r="F28" s="62">
        <f>IF(G28&gt;50000,50000,G28)</f>
        <v>0</v>
      </c>
      <c r="G28" s="45">
        <v>0</v>
      </c>
    </row>
    <row r="29" spans="1:10" hidden="1" x14ac:dyDescent="0.15">
      <c r="A29" s="62"/>
      <c r="B29" s="41" t="s">
        <v>29</v>
      </c>
      <c r="G29" s="45">
        <v>0</v>
      </c>
    </row>
    <row r="30" spans="1:10" ht="13.5" customHeight="1" x14ac:dyDescent="0.15">
      <c r="A30" s="62"/>
      <c r="B30" s="41" t="s">
        <v>27</v>
      </c>
      <c r="G30" s="45">
        <f>ROUND(SUM(G27,G29,F28),2)</f>
        <v>93800</v>
      </c>
    </row>
    <row r="31" spans="1:10" ht="13.5" customHeight="1" x14ac:dyDescent="0.15">
      <c r="A31" s="68" t="s">
        <v>30</v>
      </c>
      <c r="B31" s="67"/>
      <c r="C31" s="67"/>
      <c r="D31" s="67"/>
      <c r="E31" s="67"/>
      <c r="F31" s="65" t="s">
        <v>11</v>
      </c>
      <c r="G31" s="64">
        <f>G25+SUM(G26,G30)</f>
        <v>1594600</v>
      </c>
    </row>
    <row r="32" spans="1:10" ht="12.75" customHeight="1" x14ac:dyDescent="0.15"/>
    <row r="33" spans="1:10" x14ac:dyDescent="0.15">
      <c r="A33" s="48" t="s">
        <v>31</v>
      </c>
    </row>
    <row r="34" spans="1:10" x14ac:dyDescent="0.15">
      <c r="A34" s="69">
        <v>20</v>
      </c>
      <c r="B34" s="41" t="str">
        <f>CONCATENATE("Downpayment ("&amp;A34&amp;"% of Selling Price)")</f>
        <v>Downpayment (20% of Selling Price)</v>
      </c>
      <c r="G34" s="45">
        <f>ROUND((G25+G26)*(A34/100),2)</f>
        <v>300160</v>
      </c>
    </row>
    <row r="35" spans="1:10" ht="13.5" customHeight="1" x14ac:dyDescent="0.15">
      <c r="A35" s="48"/>
      <c r="B35" s="41" t="s">
        <v>32</v>
      </c>
      <c r="G35" s="45">
        <f>ROUND(G30*(A34/100),2)</f>
        <v>18760</v>
      </c>
    </row>
    <row r="36" spans="1:10" ht="13.5" customHeight="1" x14ac:dyDescent="0.15">
      <c r="A36" s="68" t="s">
        <v>33</v>
      </c>
      <c r="B36" s="67"/>
      <c r="C36" s="67"/>
      <c r="D36" s="67"/>
      <c r="E36" s="67"/>
      <c r="F36" s="65" t="s">
        <v>11</v>
      </c>
      <c r="G36" s="64">
        <f>SUM(G34:G35)</f>
        <v>318920</v>
      </c>
    </row>
    <row r="37" spans="1:10" ht="13.5" customHeight="1" x14ac:dyDescent="0.15">
      <c r="A37" s="41" t="s">
        <v>12</v>
      </c>
      <c r="B37" s="41" t="s">
        <v>34</v>
      </c>
      <c r="F37" s="50">
        <f ca="1">NOW()</f>
        <v>44075.451322222223</v>
      </c>
      <c r="G37" s="45">
        <v>20000</v>
      </c>
    </row>
    <row r="38" spans="1:10" ht="13.5" customHeight="1" x14ac:dyDescent="0.15">
      <c r="A38" s="68" t="s">
        <v>35</v>
      </c>
      <c r="B38" s="67"/>
      <c r="C38" s="67"/>
      <c r="D38" s="67"/>
      <c r="E38" s="66"/>
      <c r="F38" s="65" t="s">
        <v>11</v>
      </c>
      <c r="G38" s="64">
        <f>G36-G37</f>
        <v>298920</v>
      </c>
    </row>
    <row r="39" spans="1:10" ht="12.75" customHeight="1" x14ac:dyDescent="0.15"/>
    <row r="40" spans="1:10" x14ac:dyDescent="0.15">
      <c r="A40" s="62">
        <v>10</v>
      </c>
      <c r="B40" s="41" t="str">
        <f>CONCATENATE("Spot Downpayment (" &amp;A40&amp;"% of Selling Price)")</f>
        <v>Spot Downpayment (10% of Selling Price)</v>
      </c>
      <c r="E40" s="51"/>
      <c r="F40" s="50"/>
      <c r="G40" s="45">
        <f>ROUND((SUM(G25:G26)*(A40/100))-G37,2)</f>
        <v>130080</v>
      </c>
      <c r="H40" s="45"/>
      <c r="I40" s="45"/>
      <c r="J40" s="63"/>
    </row>
    <row r="41" spans="1:10" ht="13.5" customHeight="1" x14ac:dyDescent="0.15">
      <c r="B41" s="41" t="s">
        <v>27</v>
      </c>
      <c r="E41" s="51"/>
      <c r="F41" s="50"/>
      <c r="G41" s="45">
        <f>ROUND(G30*(A40/100),2)</f>
        <v>9380</v>
      </c>
      <c r="J41" s="45"/>
    </row>
    <row r="42" spans="1:10" ht="13.5" customHeight="1" x14ac:dyDescent="0.15">
      <c r="B42" s="44" t="s">
        <v>122</v>
      </c>
      <c r="E42" s="51"/>
      <c r="F42" s="106">
        <f ca="1">F37+60</f>
        <v>44135.451322222223</v>
      </c>
      <c r="G42" s="61">
        <f>SUM(G40:G41)</f>
        <v>139460</v>
      </c>
    </row>
    <row r="43" spans="1:10" x14ac:dyDescent="0.15">
      <c r="B43" s="52"/>
      <c r="E43" s="51"/>
      <c r="F43" s="50"/>
      <c r="G43" s="49"/>
    </row>
    <row r="44" spans="1:10" x14ac:dyDescent="0.15">
      <c r="A44" s="62">
        <f>A34-A40</f>
        <v>10</v>
      </c>
      <c r="B44" s="60" t="str">
        <f>CONCATENATE("Streched Downpayment (" &amp; A44 &amp;"% of Selling Price)")</f>
        <v>Streched Downpayment (10% of Selling Price)</v>
      </c>
      <c r="E44" s="51"/>
      <c r="F44" s="50"/>
      <c r="G44" s="45">
        <f>G34-G40-ReservationFee</f>
        <v>150080</v>
      </c>
    </row>
    <row r="45" spans="1:10" ht="13.5" customHeight="1" x14ac:dyDescent="0.15">
      <c r="B45" s="60" t="s">
        <v>27</v>
      </c>
      <c r="E45" s="51"/>
      <c r="F45" s="50"/>
      <c r="G45" s="45">
        <f>SUM(G35:G35)-G41</f>
        <v>9380</v>
      </c>
    </row>
    <row r="46" spans="1:10" ht="13.5" customHeight="1" x14ac:dyDescent="0.15">
      <c r="B46" s="44" t="str">
        <f>CONCATENATE("Total Streched DP and Other Charges payable in " &amp; A48 &amp; " months")</f>
        <v>Total Streched DP and Other Charges payable in 24 months</v>
      </c>
      <c r="E46" s="51"/>
      <c r="F46" s="50"/>
      <c r="G46" s="61">
        <f>SUM(G44:G45)</f>
        <v>159460</v>
      </c>
    </row>
    <row r="47" spans="1:10" x14ac:dyDescent="0.15">
      <c r="B47" s="60"/>
      <c r="E47" s="51"/>
      <c r="F47" s="50"/>
      <c r="G47" s="49"/>
    </row>
    <row r="48" spans="1:10" ht="25.5" customHeight="1" x14ac:dyDescent="0.15">
      <c r="A48" s="59">
        <v>24</v>
      </c>
      <c r="B48" s="156" t="s">
        <v>36</v>
      </c>
      <c r="C48" s="156"/>
      <c r="D48" s="129" t="s">
        <v>37</v>
      </c>
      <c r="E48" s="58" t="s">
        <v>38</v>
      </c>
      <c r="F48" s="57" t="s">
        <v>27</v>
      </c>
      <c r="G48" s="56" t="s">
        <v>39</v>
      </c>
    </row>
    <row r="49" spans="1:7" x14ac:dyDescent="0.15">
      <c r="A49" s="155" t="s">
        <v>40</v>
      </c>
      <c r="B49" s="155"/>
      <c r="C49" s="155"/>
      <c r="D49" s="31">
        <v>44091</v>
      </c>
      <c r="E49" s="54">
        <f>ROUND(G44/A48,2)</f>
        <v>6253.33</v>
      </c>
      <c r="F49" s="53">
        <f>ROUND(G45/A48,2)</f>
        <v>390.83</v>
      </c>
      <c r="G49" s="45">
        <f>SUM(E49:F49)</f>
        <v>6644.16</v>
      </c>
    </row>
    <row r="50" spans="1:7" x14ac:dyDescent="0.15">
      <c r="A50" s="155" t="s">
        <v>41</v>
      </c>
      <c r="B50" s="155"/>
      <c r="C50" s="155"/>
      <c r="D50" s="31">
        <v>44121</v>
      </c>
      <c r="E50" s="54">
        <f t="shared" ref="E50:E57" si="0">IF($A$48&lt;VALUE(LEFT(A50,1))," ",IF($A$48=VALUE(LEFT(A50,1)),$G$44-($E$49*($A$48-1)),E49))</f>
        <v>6253.33</v>
      </c>
      <c r="F50" s="53">
        <f t="shared" ref="F50:F57" si="1">IF($A$48&lt;VALUE(LEFT(A50,1))," ",IF($A$48=VALUE(LEFT(A50,1)),$G$45-($F$49*($A$48-1)),F49))</f>
        <v>390.83</v>
      </c>
      <c r="G50" s="45">
        <f t="shared" ref="G50:G57" si="2">IF($A$48&lt;VALUE(LEFT(A50,1))," ",SUM(E50:F50))</f>
        <v>6644.16</v>
      </c>
    </row>
    <row r="51" spans="1:7" x14ac:dyDescent="0.15">
      <c r="A51" s="155" t="s">
        <v>42</v>
      </c>
      <c r="B51" s="155"/>
      <c r="C51" s="155"/>
      <c r="D51" s="31">
        <v>44152</v>
      </c>
      <c r="E51" s="54">
        <f t="shared" si="0"/>
        <v>6253.33</v>
      </c>
      <c r="F51" s="53">
        <f t="shared" si="1"/>
        <v>390.83</v>
      </c>
      <c r="G51" s="45">
        <f t="shared" si="2"/>
        <v>6644.16</v>
      </c>
    </row>
    <row r="52" spans="1:7" x14ac:dyDescent="0.15">
      <c r="A52" s="155" t="s">
        <v>43</v>
      </c>
      <c r="B52" s="155"/>
      <c r="C52" s="155"/>
      <c r="D52" s="31">
        <v>44182</v>
      </c>
      <c r="E52" s="54">
        <f t="shared" si="0"/>
        <v>6253.33</v>
      </c>
      <c r="F52" s="53">
        <f t="shared" si="1"/>
        <v>390.83</v>
      </c>
      <c r="G52" s="45">
        <f t="shared" si="2"/>
        <v>6644.16</v>
      </c>
    </row>
    <row r="53" spans="1:7" x14ac:dyDescent="0.15">
      <c r="A53" s="155" t="s">
        <v>44</v>
      </c>
      <c r="B53" s="155"/>
      <c r="C53" s="155"/>
      <c r="D53" s="31">
        <v>44213</v>
      </c>
      <c r="E53" s="54">
        <f t="shared" si="0"/>
        <v>6253.33</v>
      </c>
      <c r="F53" s="53">
        <f t="shared" si="1"/>
        <v>390.83</v>
      </c>
      <c r="G53" s="45">
        <f t="shared" si="2"/>
        <v>6644.16</v>
      </c>
    </row>
    <row r="54" spans="1:7" x14ac:dyDescent="0.15">
      <c r="A54" s="155" t="s">
        <v>45</v>
      </c>
      <c r="B54" s="155"/>
      <c r="C54" s="155"/>
      <c r="D54" s="31">
        <v>44244</v>
      </c>
      <c r="E54" s="54">
        <f t="shared" si="0"/>
        <v>6253.33</v>
      </c>
      <c r="F54" s="53">
        <f t="shared" si="1"/>
        <v>390.83</v>
      </c>
      <c r="G54" s="45">
        <f t="shared" si="2"/>
        <v>6644.16</v>
      </c>
    </row>
    <row r="55" spans="1:7" x14ac:dyDescent="0.15">
      <c r="A55" s="155" t="s">
        <v>46</v>
      </c>
      <c r="B55" s="155"/>
      <c r="C55" s="155"/>
      <c r="D55" s="31">
        <v>44272</v>
      </c>
      <c r="E55" s="54">
        <f t="shared" si="0"/>
        <v>6253.33</v>
      </c>
      <c r="F55" s="53">
        <f t="shared" si="1"/>
        <v>390.83</v>
      </c>
      <c r="G55" s="45">
        <f t="shared" si="2"/>
        <v>6644.16</v>
      </c>
    </row>
    <row r="56" spans="1:7" x14ac:dyDescent="0.15">
      <c r="A56" s="155" t="s">
        <v>47</v>
      </c>
      <c r="B56" s="155"/>
      <c r="C56" s="155"/>
      <c r="D56" s="31">
        <v>44303</v>
      </c>
      <c r="E56" s="54">
        <f t="shared" si="0"/>
        <v>6253.33</v>
      </c>
      <c r="F56" s="53">
        <f t="shared" si="1"/>
        <v>390.83</v>
      </c>
      <c r="G56" s="45">
        <f t="shared" si="2"/>
        <v>6644.16</v>
      </c>
    </row>
    <row r="57" spans="1:7" x14ac:dyDescent="0.15">
      <c r="A57" s="155" t="s">
        <v>48</v>
      </c>
      <c r="B57" s="155"/>
      <c r="C57" s="155"/>
      <c r="D57" s="31">
        <v>44333</v>
      </c>
      <c r="E57" s="54">
        <f t="shared" si="0"/>
        <v>6253.33</v>
      </c>
      <c r="F57" s="53">
        <f t="shared" si="1"/>
        <v>390.83</v>
      </c>
      <c r="G57" s="45">
        <f t="shared" si="2"/>
        <v>6644.16</v>
      </c>
    </row>
    <row r="58" spans="1:7" x14ac:dyDescent="0.15">
      <c r="A58" s="155" t="s">
        <v>49</v>
      </c>
      <c r="B58" s="155"/>
      <c r="C58" s="155"/>
      <c r="D58" s="31">
        <v>44364</v>
      </c>
      <c r="E58" s="54">
        <f t="shared" ref="E58:E82" si="3">IF($A$48&lt;VALUE(LEFT(A58,2))," ",IF($A$48=VALUE(LEFT(A58,2)),$G$44-($E$49*($A$48-1)),E57))</f>
        <v>6253.33</v>
      </c>
      <c r="F58" s="53">
        <f t="shared" ref="F58:F82" si="4">IF($A$48&lt;VALUE(LEFT(A58,2))," ",IF($A$48=VALUE(LEFT(A58,2)),$G$45-($F$49*($A$48-1)),F57))</f>
        <v>390.83</v>
      </c>
      <c r="G58" s="45">
        <f t="shared" ref="G58:G82" si="5">IF($A$48&lt;VALUE(LEFT(A58,2))," ",SUM(E58:F58))</f>
        <v>6644.16</v>
      </c>
    </row>
    <row r="59" spans="1:7" x14ac:dyDescent="0.15">
      <c r="A59" s="155" t="s">
        <v>50</v>
      </c>
      <c r="B59" s="155"/>
      <c r="C59" s="155"/>
      <c r="D59" s="31">
        <v>44394</v>
      </c>
      <c r="E59" s="54">
        <f t="shared" si="3"/>
        <v>6253.33</v>
      </c>
      <c r="F59" s="53">
        <f t="shared" si="4"/>
        <v>390.83</v>
      </c>
      <c r="G59" s="45">
        <f t="shared" si="5"/>
        <v>6644.16</v>
      </c>
    </row>
    <row r="60" spans="1:7" x14ac:dyDescent="0.15">
      <c r="A60" s="155" t="s">
        <v>51</v>
      </c>
      <c r="B60" s="155"/>
      <c r="C60" s="155"/>
      <c r="D60" s="31">
        <v>44425</v>
      </c>
      <c r="E60" s="54">
        <f t="shared" si="3"/>
        <v>6253.33</v>
      </c>
      <c r="F60" s="53">
        <f t="shared" si="4"/>
        <v>390.83</v>
      </c>
      <c r="G60" s="45">
        <f t="shared" si="5"/>
        <v>6644.16</v>
      </c>
    </row>
    <row r="61" spans="1:7" x14ac:dyDescent="0.15">
      <c r="A61" s="155" t="s">
        <v>52</v>
      </c>
      <c r="B61" s="155"/>
      <c r="C61" s="155"/>
      <c r="D61" s="31">
        <v>44456</v>
      </c>
      <c r="E61" s="54">
        <f t="shared" si="3"/>
        <v>6253.33</v>
      </c>
      <c r="F61" s="53">
        <f t="shared" si="4"/>
        <v>390.83</v>
      </c>
      <c r="G61" s="45">
        <f t="shared" si="5"/>
        <v>6644.16</v>
      </c>
    </row>
    <row r="62" spans="1:7" x14ac:dyDescent="0.15">
      <c r="A62" s="155" t="s">
        <v>53</v>
      </c>
      <c r="B62" s="155"/>
      <c r="C62" s="155"/>
      <c r="D62" s="31">
        <v>44486</v>
      </c>
      <c r="E62" s="54">
        <f t="shared" si="3"/>
        <v>6253.33</v>
      </c>
      <c r="F62" s="53">
        <f t="shared" si="4"/>
        <v>390.83</v>
      </c>
      <c r="G62" s="45">
        <f t="shared" si="5"/>
        <v>6644.16</v>
      </c>
    </row>
    <row r="63" spans="1:7" x14ac:dyDescent="0.15">
      <c r="A63" s="155" t="s">
        <v>54</v>
      </c>
      <c r="B63" s="155"/>
      <c r="C63" s="155"/>
      <c r="D63" s="31">
        <v>44517</v>
      </c>
      <c r="E63" s="54">
        <f t="shared" si="3"/>
        <v>6253.33</v>
      </c>
      <c r="F63" s="53">
        <f t="shared" si="4"/>
        <v>390.83</v>
      </c>
      <c r="G63" s="45">
        <f t="shared" si="5"/>
        <v>6644.16</v>
      </c>
    </row>
    <row r="64" spans="1:7" x14ac:dyDescent="0.15">
      <c r="A64" s="155" t="s">
        <v>55</v>
      </c>
      <c r="B64" s="155"/>
      <c r="C64" s="155"/>
      <c r="D64" s="31">
        <v>44547</v>
      </c>
      <c r="E64" s="54">
        <f t="shared" si="3"/>
        <v>6253.33</v>
      </c>
      <c r="F64" s="53">
        <f t="shared" si="4"/>
        <v>390.83</v>
      </c>
      <c r="G64" s="45">
        <f t="shared" si="5"/>
        <v>6644.16</v>
      </c>
    </row>
    <row r="65" spans="1:7" x14ac:dyDescent="0.15">
      <c r="A65" s="155" t="s">
        <v>56</v>
      </c>
      <c r="B65" s="155"/>
      <c r="C65" s="155"/>
      <c r="D65" s="31">
        <v>44578</v>
      </c>
      <c r="E65" s="54">
        <f t="shared" si="3"/>
        <v>6253.33</v>
      </c>
      <c r="F65" s="53">
        <f t="shared" si="4"/>
        <v>390.83</v>
      </c>
      <c r="G65" s="45">
        <f t="shared" si="5"/>
        <v>6644.16</v>
      </c>
    </row>
    <row r="66" spans="1:7" x14ac:dyDescent="0.15">
      <c r="A66" s="155" t="s">
        <v>57</v>
      </c>
      <c r="B66" s="155"/>
      <c r="C66" s="155"/>
      <c r="D66" s="31">
        <v>44609</v>
      </c>
      <c r="E66" s="54">
        <f t="shared" si="3"/>
        <v>6253.33</v>
      </c>
      <c r="F66" s="53">
        <f t="shared" si="4"/>
        <v>390.83</v>
      </c>
      <c r="G66" s="45">
        <f t="shared" si="5"/>
        <v>6644.16</v>
      </c>
    </row>
    <row r="67" spans="1:7" x14ac:dyDescent="0.15">
      <c r="A67" s="155" t="s">
        <v>58</v>
      </c>
      <c r="B67" s="155"/>
      <c r="C67" s="155"/>
      <c r="D67" s="31">
        <v>44637</v>
      </c>
      <c r="E67" s="54">
        <f t="shared" si="3"/>
        <v>6253.33</v>
      </c>
      <c r="F67" s="53">
        <f t="shared" si="4"/>
        <v>390.83</v>
      </c>
      <c r="G67" s="45">
        <f t="shared" si="5"/>
        <v>6644.16</v>
      </c>
    </row>
    <row r="68" spans="1:7" x14ac:dyDescent="0.15">
      <c r="A68" s="155" t="s">
        <v>59</v>
      </c>
      <c r="B68" s="155"/>
      <c r="C68" s="155"/>
      <c r="D68" s="31">
        <v>44668</v>
      </c>
      <c r="E68" s="54">
        <f t="shared" si="3"/>
        <v>6253.33</v>
      </c>
      <c r="F68" s="53">
        <f t="shared" si="4"/>
        <v>390.83</v>
      </c>
      <c r="G68" s="45">
        <f t="shared" si="5"/>
        <v>6644.16</v>
      </c>
    </row>
    <row r="69" spans="1:7" x14ac:dyDescent="0.15">
      <c r="A69" s="155" t="s">
        <v>60</v>
      </c>
      <c r="B69" s="155"/>
      <c r="C69" s="155"/>
      <c r="D69" s="31">
        <v>44698</v>
      </c>
      <c r="E69" s="54">
        <f t="shared" si="3"/>
        <v>6253.33</v>
      </c>
      <c r="F69" s="53">
        <f t="shared" si="4"/>
        <v>390.83</v>
      </c>
      <c r="G69" s="45">
        <f t="shared" si="5"/>
        <v>6644.16</v>
      </c>
    </row>
    <row r="70" spans="1:7" x14ac:dyDescent="0.15">
      <c r="A70" s="155" t="s">
        <v>61</v>
      </c>
      <c r="B70" s="155"/>
      <c r="C70" s="155"/>
      <c r="D70" s="31">
        <v>44729</v>
      </c>
      <c r="E70" s="54">
        <f t="shared" si="3"/>
        <v>6253.33</v>
      </c>
      <c r="F70" s="53">
        <f t="shared" si="4"/>
        <v>390.83</v>
      </c>
      <c r="G70" s="45">
        <f t="shared" si="5"/>
        <v>6644.16</v>
      </c>
    </row>
    <row r="71" spans="1:7" x14ac:dyDescent="0.15">
      <c r="A71" s="155" t="s">
        <v>62</v>
      </c>
      <c r="B71" s="155"/>
      <c r="C71" s="155"/>
      <c r="D71" s="31">
        <v>44759</v>
      </c>
      <c r="E71" s="54">
        <f t="shared" si="3"/>
        <v>6253.33</v>
      </c>
      <c r="F71" s="53">
        <f t="shared" si="4"/>
        <v>390.83</v>
      </c>
      <c r="G71" s="45">
        <f t="shared" si="5"/>
        <v>6644.16</v>
      </c>
    </row>
    <row r="72" spans="1:7" x14ac:dyDescent="0.15">
      <c r="A72" s="155" t="s">
        <v>63</v>
      </c>
      <c r="B72" s="155"/>
      <c r="C72" s="155"/>
      <c r="D72" s="31">
        <v>44790</v>
      </c>
      <c r="E72" s="54">
        <f t="shared" si="3"/>
        <v>6253.4100000000035</v>
      </c>
      <c r="F72" s="53">
        <f t="shared" si="4"/>
        <v>390.90999999999985</v>
      </c>
      <c r="G72" s="45">
        <f t="shared" si="5"/>
        <v>6644.3200000000033</v>
      </c>
    </row>
    <row r="73" spans="1:7" hidden="1" x14ac:dyDescent="0.15">
      <c r="A73" s="155" t="s">
        <v>64</v>
      </c>
      <c r="B73" s="155"/>
      <c r="C73" s="155"/>
      <c r="D73" s="31">
        <v>44806</v>
      </c>
      <c r="E73" s="54" t="str">
        <f t="shared" si="3"/>
        <v xml:space="preserve"> </v>
      </c>
      <c r="F73" s="53" t="str">
        <f t="shared" si="4"/>
        <v xml:space="preserve"> </v>
      </c>
      <c r="G73" s="45" t="str">
        <f t="shared" si="5"/>
        <v xml:space="preserve"> </v>
      </c>
    </row>
    <row r="74" spans="1:7" hidden="1" x14ac:dyDescent="0.15">
      <c r="A74" s="155" t="s">
        <v>65</v>
      </c>
      <c r="B74" s="155"/>
      <c r="C74" s="155"/>
      <c r="D74" s="31">
        <v>44836</v>
      </c>
      <c r="E74" s="54" t="str">
        <f t="shared" si="3"/>
        <v xml:space="preserve"> </v>
      </c>
      <c r="F74" s="53" t="str">
        <f t="shared" si="4"/>
        <v xml:space="preserve"> </v>
      </c>
      <c r="G74" s="45" t="str">
        <f t="shared" si="5"/>
        <v xml:space="preserve"> </v>
      </c>
    </row>
    <row r="75" spans="1:7" hidden="1" x14ac:dyDescent="0.15">
      <c r="A75" s="155" t="s">
        <v>66</v>
      </c>
      <c r="B75" s="155"/>
      <c r="C75" s="155"/>
      <c r="D75" s="31">
        <v>44867</v>
      </c>
      <c r="E75" s="54" t="str">
        <f t="shared" si="3"/>
        <v xml:space="preserve"> </v>
      </c>
      <c r="F75" s="53" t="str">
        <f t="shared" si="4"/>
        <v xml:space="preserve"> </v>
      </c>
      <c r="G75" s="45" t="str">
        <f t="shared" si="5"/>
        <v xml:space="preserve"> </v>
      </c>
    </row>
    <row r="76" spans="1:7" hidden="1" x14ac:dyDescent="0.15">
      <c r="A76" s="155" t="s">
        <v>67</v>
      </c>
      <c r="B76" s="155"/>
      <c r="C76" s="155"/>
      <c r="D76" s="31">
        <v>44897</v>
      </c>
      <c r="E76" s="54" t="str">
        <f t="shared" si="3"/>
        <v xml:space="preserve"> </v>
      </c>
      <c r="F76" s="53" t="str">
        <f t="shared" si="4"/>
        <v xml:space="preserve"> </v>
      </c>
      <c r="G76" s="45" t="str">
        <f t="shared" si="5"/>
        <v xml:space="preserve"> </v>
      </c>
    </row>
    <row r="77" spans="1:7" hidden="1" x14ac:dyDescent="0.15">
      <c r="A77" s="155" t="s">
        <v>68</v>
      </c>
      <c r="B77" s="155"/>
      <c r="C77" s="155"/>
      <c r="D77" s="31">
        <v>44928</v>
      </c>
      <c r="E77" s="54" t="str">
        <f t="shared" si="3"/>
        <v xml:space="preserve"> </v>
      </c>
      <c r="F77" s="53" t="str">
        <f t="shared" si="4"/>
        <v xml:space="preserve"> </v>
      </c>
      <c r="G77" s="45" t="str">
        <f t="shared" si="5"/>
        <v xml:space="preserve"> </v>
      </c>
    </row>
    <row r="78" spans="1:7" hidden="1" x14ac:dyDescent="0.15">
      <c r="A78" s="155" t="s">
        <v>69</v>
      </c>
      <c r="B78" s="155"/>
      <c r="C78" s="155"/>
      <c r="D78" s="31">
        <v>44959</v>
      </c>
      <c r="E78" s="54" t="str">
        <f t="shared" si="3"/>
        <v xml:space="preserve"> </v>
      </c>
      <c r="F78" s="53" t="str">
        <f t="shared" si="4"/>
        <v xml:space="preserve"> </v>
      </c>
      <c r="G78" s="45" t="str">
        <f t="shared" si="5"/>
        <v xml:space="preserve"> </v>
      </c>
    </row>
    <row r="79" spans="1:7" hidden="1" x14ac:dyDescent="0.15">
      <c r="A79" s="155" t="s">
        <v>70</v>
      </c>
      <c r="B79" s="155"/>
      <c r="C79" s="155"/>
      <c r="D79" s="31">
        <v>44987</v>
      </c>
      <c r="E79" s="54" t="str">
        <f t="shared" si="3"/>
        <v xml:space="preserve"> </v>
      </c>
      <c r="F79" s="53" t="str">
        <f t="shared" si="4"/>
        <v xml:space="preserve"> </v>
      </c>
      <c r="G79" s="45" t="str">
        <f t="shared" si="5"/>
        <v xml:space="preserve"> </v>
      </c>
    </row>
    <row r="80" spans="1:7" hidden="1" x14ac:dyDescent="0.15">
      <c r="A80" s="155" t="s">
        <v>71</v>
      </c>
      <c r="B80" s="155"/>
      <c r="C80" s="155"/>
      <c r="D80" s="31">
        <v>45018</v>
      </c>
      <c r="E80" s="54" t="str">
        <f t="shared" si="3"/>
        <v xml:space="preserve"> </v>
      </c>
      <c r="F80" s="53" t="str">
        <f t="shared" si="4"/>
        <v xml:space="preserve"> </v>
      </c>
      <c r="G80" s="45" t="str">
        <f t="shared" si="5"/>
        <v xml:space="preserve"> </v>
      </c>
    </row>
    <row r="81" spans="1:7" hidden="1" x14ac:dyDescent="0.15">
      <c r="A81" s="155" t="s">
        <v>72</v>
      </c>
      <c r="B81" s="155"/>
      <c r="C81" s="155"/>
      <c r="D81" s="31">
        <v>45048</v>
      </c>
      <c r="E81" s="54" t="str">
        <f t="shared" si="3"/>
        <v xml:space="preserve"> </v>
      </c>
      <c r="F81" s="53" t="str">
        <f t="shared" si="4"/>
        <v xml:space="preserve"> </v>
      </c>
      <c r="G81" s="45" t="str">
        <f t="shared" si="5"/>
        <v xml:space="preserve"> </v>
      </c>
    </row>
    <row r="82" spans="1:7" hidden="1" x14ac:dyDescent="0.15">
      <c r="A82" s="155" t="s">
        <v>73</v>
      </c>
      <c r="B82" s="155"/>
      <c r="C82" s="155"/>
      <c r="D82" s="31">
        <v>45079</v>
      </c>
      <c r="E82" s="54" t="str">
        <f t="shared" si="3"/>
        <v xml:space="preserve"> </v>
      </c>
      <c r="F82" s="53" t="str">
        <f t="shared" si="4"/>
        <v xml:space="preserve"> </v>
      </c>
      <c r="G82" s="45" t="str">
        <f t="shared" si="5"/>
        <v xml:space="preserve"> </v>
      </c>
    </row>
    <row r="83" spans="1:7" hidden="1" x14ac:dyDescent="0.15">
      <c r="A83" s="155" t="s">
        <v>74</v>
      </c>
      <c r="B83" s="155"/>
      <c r="C83" s="155"/>
      <c r="D83" s="31">
        <v>45109</v>
      </c>
      <c r="E83" s="54" t="str">
        <f>IF($A$48&lt;VALUE(LEFT(A83,2))," ",IF($A$48=VALUE(LEFT(A83,2)),$G$44-($E$49*($A$48-1)),E82))</f>
        <v xml:space="preserve"> </v>
      </c>
      <c r="F83" s="53" t="str">
        <f>IF($A$48&lt;VALUE(LEFT(A83,2))," ",IF($A$48=VALUE(LEFT(A83,2)),$G$45-($F$49*($A$48-1)),F82))</f>
        <v xml:space="preserve"> </v>
      </c>
      <c r="G83" s="45" t="str">
        <f>IF($A$48&lt;VALUE(LEFT(A83,2))," ",SUM(E83:F83))</f>
        <v xml:space="preserve"> </v>
      </c>
    </row>
    <row r="84" spans="1:7" hidden="1" x14ac:dyDescent="0.15">
      <c r="A84" s="155" t="s">
        <v>75</v>
      </c>
      <c r="B84" s="155"/>
      <c r="C84" s="155"/>
      <c r="D84" s="31">
        <v>45140</v>
      </c>
      <c r="E84" s="54" t="str">
        <f>IF($A$48&lt;VALUE(LEFT(A84,2))," ",IF($A$48=VALUE(LEFT(A84,2)),$G$44-($E$49*($A$48-1)),E83))</f>
        <v xml:space="preserve"> </v>
      </c>
      <c r="F84" s="53" t="str">
        <f>IF($A$48&lt;VALUE(LEFT(A84,2))," ",IF($A$48=VALUE(LEFT(A84,2)),$G$45-($F$49*($A$48-1)),F83))</f>
        <v xml:space="preserve"> </v>
      </c>
      <c r="G84" s="45" t="str">
        <f>IF($A$48&lt;VALUE(LEFT(A84,2))," ",SUM(E84:F84))</f>
        <v xml:space="preserve"> </v>
      </c>
    </row>
    <row r="85" spans="1:7" hidden="1" x14ac:dyDescent="0.15">
      <c r="A85" s="175" t="s">
        <v>76</v>
      </c>
      <c r="B85" s="175"/>
      <c r="C85" s="175"/>
      <c r="D85" s="31">
        <v>45171</v>
      </c>
      <c r="E85" s="54" t="str">
        <f t="shared" ref="E85:E102" si="6">IF($A$48&lt;VALUE(LEFT(A85,2))," ",IF($A$48=VALUE(LEFT(A85,2)),$G$44-($E$49*($A$48-1)),E84))</f>
        <v xml:space="preserve"> </v>
      </c>
      <c r="F85" s="53" t="str">
        <f t="shared" ref="F85:F102" si="7">IF($A$48&lt;VALUE(LEFT(A85,2))," ",IF($A$48=VALUE(LEFT(A85,2)),$G$45-($F$49*($A$48-1)),F84))</f>
        <v xml:space="preserve"> </v>
      </c>
      <c r="G85" s="45" t="str">
        <f t="shared" ref="G85:G102" si="8">IF($A$48&lt;VALUE(LEFT(A85,2))," ",SUM(E85:F85))</f>
        <v xml:space="preserve"> </v>
      </c>
    </row>
    <row r="86" spans="1:7" hidden="1" x14ac:dyDescent="0.15">
      <c r="A86" s="175" t="s">
        <v>77</v>
      </c>
      <c r="B86" s="175"/>
      <c r="C86" s="175"/>
      <c r="D86" s="31">
        <v>45201</v>
      </c>
      <c r="E86" s="54" t="str">
        <f t="shared" si="6"/>
        <v xml:space="preserve"> </v>
      </c>
      <c r="F86" s="53" t="str">
        <f t="shared" si="7"/>
        <v xml:space="preserve"> </v>
      </c>
      <c r="G86" s="45" t="str">
        <f t="shared" si="8"/>
        <v xml:space="preserve"> </v>
      </c>
    </row>
    <row r="87" spans="1:7" hidden="1" x14ac:dyDescent="0.15">
      <c r="A87" s="175" t="s">
        <v>78</v>
      </c>
      <c r="B87" s="175"/>
      <c r="C87" s="175"/>
      <c r="D87" s="31">
        <v>45232</v>
      </c>
      <c r="E87" s="54" t="str">
        <f t="shared" si="6"/>
        <v xml:space="preserve"> </v>
      </c>
      <c r="F87" s="53" t="str">
        <f t="shared" si="7"/>
        <v xml:space="preserve"> </v>
      </c>
      <c r="G87" s="45" t="str">
        <f t="shared" si="8"/>
        <v xml:space="preserve"> </v>
      </c>
    </row>
    <row r="88" spans="1:7" hidden="1" x14ac:dyDescent="0.15">
      <c r="A88" s="175" t="s">
        <v>79</v>
      </c>
      <c r="B88" s="175"/>
      <c r="C88" s="175"/>
      <c r="D88" s="31">
        <v>45262</v>
      </c>
      <c r="E88" s="54" t="str">
        <f t="shared" si="6"/>
        <v xml:space="preserve"> </v>
      </c>
      <c r="F88" s="53" t="str">
        <f t="shared" si="7"/>
        <v xml:space="preserve"> </v>
      </c>
      <c r="G88" s="45" t="str">
        <f t="shared" si="8"/>
        <v xml:space="preserve"> </v>
      </c>
    </row>
    <row r="89" spans="1:7" hidden="1" x14ac:dyDescent="0.15">
      <c r="A89" s="175" t="s">
        <v>80</v>
      </c>
      <c r="B89" s="175"/>
      <c r="C89" s="175"/>
      <c r="D89" s="31">
        <v>45293</v>
      </c>
      <c r="E89" s="54" t="str">
        <f t="shared" si="6"/>
        <v xml:space="preserve"> </v>
      </c>
      <c r="F89" s="53" t="str">
        <f t="shared" si="7"/>
        <v xml:space="preserve"> </v>
      </c>
      <c r="G89" s="45" t="str">
        <f t="shared" si="8"/>
        <v xml:space="preserve"> </v>
      </c>
    </row>
    <row r="90" spans="1:7" hidden="1" x14ac:dyDescent="0.15">
      <c r="A90" s="175" t="s">
        <v>81</v>
      </c>
      <c r="B90" s="175"/>
      <c r="C90" s="175"/>
      <c r="D90" s="31">
        <v>45324</v>
      </c>
      <c r="E90" s="54" t="str">
        <f t="shared" si="6"/>
        <v xml:space="preserve"> </v>
      </c>
      <c r="F90" s="53" t="str">
        <f t="shared" si="7"/>
        <v xml:space="preserve"> </v>
      </c>
      <c r="G90" s="45" t="str">
        <f t="shared" si="8"/>
        <v xml:space="preserve"> </v>
      </c>
    </row>
    <row r="91" spans="1:7" hidden="1" x14ac:dyDescent="0.15">
      <c r="A91" s="175" t="s">
        <v>82</v>
      </c>
      <c r="B91" s="175"/>
      <c r="C91" s="175"/>
      <c r="D91" s="31">
        <v>45353</v>
      </c>
      <c r="E91" s="54" t="str">
        <f t="shared" si="6"/>
        <v xml:space="preserve"> </v>
      </c>
      <c r="F91" s="53" t="str">
        <f t="shared" si="7"/>
        <v xml:space="preserve"> </v>
      </c>
      <c r="G91" s="45" t="str">
        <f t="shared" si="8"/>
        <v xml:space="preserve"> </v>
      </c>
    </row>
    <row r="92" spans="1:7" hidden="1" x14ac:dyDescent="0.15">
      <c r="A92" s="175" t="s">
        <v>83</v>
      </c>
      <c r="B92" s="175"/>
      <c r="C92" s="175"/>
      <c r="D92" s="31">
        <v>45384</v>
      </c>
      <c r="E92" s="54" t="str">
        <f t="shared" si="6"/>
        <v xml:space="preserve"> </v>
      </c>
      <c r="F92" s="53" t="str">
        <f t="shared" si="7"/>
        <v xml:space="preserve"> </v>
      </c>
      <c r="G92" s="45" t="str">
        <f t="shared" si="8"/>
        <v xml:space="preserve"> </v>
      </c>
    </row>
    <row r="93" spans="1:7" hidden="1" x14ac:dyDescent="0.15">
      <c r="A93" s="175" t="s">
        <v>84</v>
      </c>
      <c r="B93" s="175"/>
      <c r="C93" s="175"/>
      <c r="D93" s="31">
        <v>45414</v>
      </c>
      <c r="E93" s="54" t="str">
        <f t="shared" si="6"/>
        <v xml:space="preserve"> </v>
      </c>
      <c r="F93" s="53" t="str">
        <f t="shared" si="7"/>
        <v xml:space="preserve"> </v>
      </c>
      <c r="G93" s="45" t="str">
        <f t="shared" si="8"/>
        <v xml:space="preserve"> </v>
      </c>
    </row>
    <row r="94" spans="1:7" hidden="1" x14ac:dyDescent="0.15">
      <c r="A94" s="175" t="s">
        <v>85</v>
      </c>
      <c r="B94" s="175"/>
      <c r="C94" s="175"/>
      <c r="D94" s="31">
        <v>45445</v>
      </c>
      <c r="E94" s="54" t="str">
        <f t="shared" si="6"/>
        <v xml:space="preserve"> </v>
      </c>
      <c r="F94" s="53" t="str">
        <f t="shared" si="7"/>
        <v xml:space="preserve"> </v>
      </c>
      <c r="G94" s="45" t="str">
        <f t="shared" si="8"/>
        <v xml:space="preserve"> </v>
      </c>
    </row>
    <row r="95" spans="1:7" hidden="1" x14ac:dyDescent="0.15">
      <c r="A95" s="175" t="s">
        <v>86</v>
      </c>
      <c r="B95" s="175"/>
      <c r="C95" s="175"/>
      <c r="D95" s="31">
        <v>45475</v>
      </c>
      <c r="E95" s="54" t="str">
        <f t="shared" si="6"/>
        <v xml:space="preserve"> </v>
      </c>
      <c r="F95" s="53" t="str">
        <f t="shared" si="7"/>
        <v xml:space="preserve"> </v>
      </c>
      <c r="G95" s="45" t="str">
        <f t="shared" si="8"/>
        <v xml:space="preserve"> </v>
      </c>
    </row>
    <row r="96" spans="1:7" hidden="1" x14ac:dyDescent="0.15">
      <c r="A96" s="175" t="s">
        <v>87</v>
      </c>
      <c r="B96" s="175"/>
      <c r="C96" s="175"/>
      <c r="D96" s="31">
        <v>45506</v>
      </c>
      <c r="E96" s="54" t="str">
        <f t="shared" si="6"/>
        <v xml:space="preserve"> </v>
      </c>
      <c r="F96" s="53" t="str">
        <f t="shared" si="7"/>
        <v xml:space="preserve"> </v>
      </c>
      <c r="G96" s="45" t="str">
        <f t="shared" si="8"/>
        <v xml:space="preserve"> </v>
      </c>
    </row>
    <row r="97" spans="1:9" hidden="1" x14ac:dyDescent="0.15">
      <c r="A97" s="155" t="s">
        <v>88</v>
      </c>
      <c r="B97" s="155"/>
      <c r="C97" s="155"/>
      <c r="D97" s="55">
        <v>44813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5" t="s">
        <v>89</v>
      </c>
      <c r="B98" s="155"/>
      <c r="C98" s="155"/>
      <c r="D98" s="55">
        <v>44843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5" t="s">
        <v>90</v>
      </c>
      <c r="B99" s="155"/>
      <c r="C99" s="155"/>
      <c r="D99" s="55">
        <v>44874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5" t="s">
        <v>91</v>
      </c>
      <c r="B100" s="155"/>
      <c r="C100" s="155"/>
      <c r="D100" s="55">
        <v>44904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5" t="s">
        <v>123</v>
      </c>
      <c r="B101" s="155"/>
      <c r="C101" s="155"/>
      <c r="D101" s="55">
        <v>44935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55" t="s">
        <v>124</v>
      </c>
      <c r="B102" s="155"/>
      <c r="C102" s="155"/>
      <c r="D102" s="55">
        <v>44966</v>
      </c>
      <c r="E102" s="54" t="str">
        <f t="shared" si="6"/>
        <v xml:space="preserve"> </v>
      </c>
      <c r="F102" s="53" t="str">
        <f t="shared" si="7"/>
        <v xml:space="preserve"> </v>
      </c>
      <c r="G102" s="45" t="str">
        <f t="shared" si="8"/>
        <v xml:space="preserve"> </v>
      </c>
    </row>
    <row r="103" spans="1:9" hidden="1" x14ac:dyDescent="0.15">
      <c r="A103" s="128"/>
      <c r="B103" s="128"/>
      <c r="C103" s="128"/>
      <c r="D103" s="55"/>
      <c r="E103" s="54"/>
      <c r="F103" s="53"/>
      <c r="G103" s="45"/>
    </row>
    <row r="104" spans="1:9" hidden="1" x14ac:dyDescent="0.15">
      <c r="A104" s="128"/>
      <c r="B104" s="128"/>
      <c r="C104" s="128"/>
      <c r="D104" s="55"/>
      <c r="E104" s="54"/>
      <c r="F104" s="53"/>
      <c r="G104" s="45"/>
    </row>
    <row r="105" spans="1:9" hidden="1" x14ac:dyDescent="0.15">
      <c r="A105" s="128"/>
      <c r="B105" s="128"/>
      <c r="C105" s="128"/>
      <c r="D105" s="55"/>
      <c r="E105" s="54"/>
      <c r="F105" s="53"/>
      <c r="G105" s="45"/>
    </row>
    <row r="106" spans="1:9" x14ac:dyDescent="0.15">
      <c r="B106" s="52"/>
      <c r="E106" s="51"/>
      <c r="F106" s="50"/>
      <c r="G106" s="49"/>
    </row>
    <row r="107" spans="1:9" x14ac:dyDescent="0.15">
      <c r="A107" s="48" t="s">
        <v>92</v>
      </c>
    </row>
    <row r="108" spans="1:9" hidden="1" x14ac:dyDescent="0.15">
      <c r="B108" s="41" t="s">
        <v>93</v>
      </c>
      <c r="F108" s="47">
        <f>D67</f>
        <v>44637</v>
      </c>
    </row>
    <row r="109" spans="1:9" x14ac:dyDescent="0.15">
      <c r="B109" s="41" t="s">
        <v>94</v>
      </c>
      <c r="F109" s="47">
        <f>D72+31</f>
        <v>44821</v>
      </c>
      <c r="G109" s="46">
        <f>ROUND(((G25+G26)*((100-A34)/100))+(G30*(100-A34)/100),2)</f>
        <v>1275680</v>
      </c>
      <c r="I109" s="45"/>
    </row>
    <row r="110" spans="1:9" hidden="1" x14ac:dyDescent="0.15">
      <c r="B110" s="41" t="s">
        <v>95</v>
      </c>
    </row>
    <row r="111" spans="1:9" ht="12.75" customHeight="1" x14ac:dyDescent="0.15"/>
    <row r="112" spans="1:9" x14ac:dyDescent="0.15">
      <c r="A112" s="44" t="s">
        <v>96</v>
      </c>
      <c r="B112" s="43"/>
      <c r="C112" s="43"/>
      <c r="D112" s="43"/>
    </row>
    <row r="113" spans="1:7" x14ac:dyDescent="0.15">
      <c r="A113" s="154" t="s">
        <v>97</v>
      </c>
      <c r="B113" s="154"/>
      <c r="C113" s="154"/>
      <c r="D113" s="154"/>
      <c r="E113" s="154"/>
      <c r="F113" s="154"/>
      <c r="G113" s="154"/>
    </row>
    <row r="114" spans="1:7" x14ac:dyDescent="0.15">
      <c r="A114" s="43" t="s">
        <v>98</v>
      </c>
      <c r="B114" s="43"/>
      <c r="C114" s="43"/>
      <c r="D114" s="43"/>
    </row>
    <row r="115" spans="1:7" x14ac:dyDescent="0.15">
      <c r="A115" s="43" t="s">
        <v>99</v>
      </c>
      <c r="B115" s="43"/>
      <c r="C115" s="43"/>
      <c r="D115" s="43"/>
    </row>
    <row r="116" spans="1:7" x14ac:dyDescent="0.15">
      <c r="A116" s="43" t="s">
        <v>100</v>
      </c>
      <c r="B116" s="43"/>
      <c r="C116" s="43"/>
      <c r="D116" s="43"/>
    </row>
    <row r="117" spans="1:7" x14ac:dyDescent="0.15">
      <c r="A117" s="127" t="s">
        <v>101</v>
      </c>
      <c r="B117" s="43"/>
      <c r="C117" s="43"/>
      <c r="D117" s="43"/>
    </row>
    <row r="118" spans="1:7" x14ac:dyDescent="0.15">
      <c r="A118" s="127" t="s">
        <v>102</v>
      </c>
      <c r="B118" s="43"/>
      <c r="C118" s="43"/>
      <c r="D118" s="43"/>
    </row>
    <row r="119" spans="1:7" x14ac:dyDescent="0.15">
      <c r="A119" s="127" t="s">
        <v>103</v>
      </c>
      <c r="B119" s="43"/>
      <c r="C119" s="43"/>
      <c r="D119" s="43"/>
    </row>
    <row r="120" spans="1:7" x14ac:dyDescent="0.15">
      <c r="A120" s="127" t="s">
        <v>104</v>
      </c>
      <c r="B120" s="43"/>
      <c r="C120" s="43"/>
      <c r="D120" s="43"/>
    </row>
    <row r="121" spans="1:7" x14ac:dyDescent="0.15">
      <c r="A121" s="127" t="s">
        <v>105</v>
      </c>
      <c r="B121" s="43"/>
      <c r="C121" s="43"/>
      <c r="D121" s="43"/>
    </row>
    <row r="122" spans="1:7" x14ac:dyDescent="0.15">
      <c r="A122" s="154" t="s">
        <v>106</v>
      </c>
      <c r="B122" s="154"/>
      <c r="C122" s="154"/>
      <c r="D122" s="154"/>
      <c r="E122" s="154"/>
      <c r="F122" s="154"/>
      <c r="G122" s="154"/>
    </row>
    <row r="123" spans="1:7" ht="12.75" customHeight="1" x14ac:dyDescent="0.15"/>
    <row r="124" spans="1:7" ht="12.75" customHeight="1" x14ac:dyDescent="0.15"/>
    <row r="125" spans="1:7" x14ac:dyDescent="0.15">
      <c r="A125" s="41" t="s">
        <v>107</v>
      </c>
      <c r="E125" s="4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2"/>
      <c r="B128" s="42"/>
      <c r="C128" s="42"/>
      <c r="E128" s="42"/>
      <c r="F128" s="42"/>
      <c r="G128" s="42"/>
    </row>
    <row r="129" spans="1:5" x14ac:dyDescent="0.15">
      <c r="A129" s="41" t="s">
        <v>109</v>
      </c>
      <c r="E129" s="41" t="s">
        <v>109</v>
      </c>
    </row>
    <row r="130" spans="1:5" x14ac:dyDescent="0.15">
      <c r="A130" s="41" t="s">
        <v>110</v>
      </c>
      <c r="E130" s="4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4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2"/>
      <c r="B136" s="42"/>
      <c r="C136" s="42"/>
    </row>
    <row r="137" spans="1:5" x14ac:dyDescent="0.15">
      <c r="A137" s="41" t="s">
        <v>109</v>
      </c>
    </row>
    <row r="138" spans="1:5" x14ac:dyDescent="0.15">
      <c r="A138" s="41" t="s">
        <v>113</v>
      </c>
    </row>
  </sheetData>
  <mergeCells count="62">
    <mergeCell ref="A113:G113"/>
    <mergeCell ref="A122:G122"/>
    <mergeCell ref="A97:C97"/>
    <mergeCell ref="A98:C98"/>
    <mergeCell ref="A99:C99"/>
    <mergeCell ref="A100:C100"/>
    <mergeCell ref="A101:C101"/>
    <mergeCell ref="A102:C102"/>
    <mergeCell ref="A96:C96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84:C84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72:C72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B48:C48"/>
    <mergeCell ref="B1:F1"/>
    <mergeCell ref="B2:F2"/>
    <mergeCell ref="A3:G3"/>
    <mergeCell ref="F6:G6"/>
    <mergeCell ref="F7:G7"/>
  </mergeCells>
  <conditionalFormatting sqref="B11 B26">
    <cfRule type="expression" dxfId="29" priority="1" stopIfTrue="1">
      <formula>G11=0</formula>
    </cfRule>
  </conditionalFormatting>
  <conditionalFormatting sqref="A50:C57">
    <cfRule type="expression" dxfId="28" priority="2" stopIfTrue="1">
      <formula>VALUE(NoDPSchedule)&lt;VALUE(LEFT(A50,1))</formula>
    </cfRule>
  </conditionalFormatting>
  <conditionalFormatting sqref="A58:C105">
    <cfRule type="expression" dxfId="27" priority="3" stopIfTrue="1">
      <formula>VALUE(NoDPSchedule)&lt;VALUE(LEFT(A58,2))</formula>
    </cfRule>
  </conditionalFormatting>
  <conditionalFormatting sqref="G11 G26">
    <cfRule type="expression" dxfId="26" priority="4" stopIfTrue="1">
      <formula>G11=0</formula>
    </cfRule>
  </conditionalFormatting>
  <conditionalFormatting sqref="D4">
    <cfRule type="expression" dxfId="25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paperSize="5" scale="69" orientation="portrait" horizontalDpi="4294967293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J116"/>
  <sheetViews>
    <sheetView topLeftCell="A72" workbookViewId="0">
      <selection activeCell="D40" sqref="D40:D86"/>
    </sheetView>
  </sheetViews>
  <sheetFormatPr baseColWidth="10" defaultColWidth="12.33203125" defaultRowHeight="12.75" customHeight="1" x14ac:dyDescent="0.15"/>
  <cols>
    <col min="1" max="5" width="12.33203125" style="41"/>
    <col min="6" max="6" width="39" style="41" customWidth="1"/>
    <col min="7" max="7" width="18.6640625" style="41" customWidth="1"/>
    <col min="8" max="8" width="13.83203125" style="41" hidden="1" customWidth="1"/>
    <col min="9" max="9" width="13.6640625" style="41" bestFit="1" customWidth="1"/>
    <col min="10" max="16384" width="12.33203125" style="41"/>
  </cols>
  <sheetData>
    <row r="1" spans="1:10" ht="14.25" customHeight="1" thickTop="1" x14ac:dyDescent="0.2">
      <c r="A1" s="83" t="s">
        <v>136</v>
      </c>
      <c r="B1" s="157" t="s">
        <v>0</v>
      </c>
      <c r="C1" s="157"/>
      <c r="D1" s="157"/>
      <c r="E1" s="157"/>
      <c r="F1" s="157"/>
      <c r="G1" s="82"/>
    </row>
    <row r="2" spans="1:10" ht="14.25" customHeight="1" x14ac:dyDescent="0.15">
      <c r="A2" s="81"/>
      <c r="B2" s="158" t="s">
        <v>1</v>
      </c>
      <c r="C2" s="158"/>
      <c r="D2" s="158"/>
      <c r="E2" s="158"/>
      <c r="F2" s="158"/>
      <c r="G2" s="80"/>
    </row>
    <row r="3" spans="1:10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0" ht="13.5" customHeight="1" thickBot="1" x14ac:dyDescent="0.2">
      <c r="A4" s="79">
        <f>IF(A38&lt;=12,12,A38)</f>
        <v>48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ht="13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</row>
    <row r="7" spans="1:10" ht="13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  <c r="I10" s="95"/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160800</v>
      </c>
      <c r="H11" s="95">
        <f>G11+G20</f>
        <v>160800</v>
      </c>
      <c r="I11" s="95"/>
    </row>
    <row r="12" spans="1:10" ht="13" hidden="1" x14ac:dyDescent="0.15">
      <c r="A12" s="62">
        <v>0</v>
      </c>
      <c r="B12" s="48" t="s">
        <v>137</v>
      </c>
      <c r="F12" s="72"/>
      <c r="G12" s="45"/>
      <c r="H12" s="95">
        <f>G10-H11</f>
        <v>1340000</v>
      </c>
      <c r="I12" s="45"/>
      <c r="J12" s="45"/>
    </row>
    <row r="13" spans="1:10" ht="13" hidden="1" x14ac:dyDescent="0.15">
      <c r="B13" s="41" t="s">
        <v>14</v>
      </c>
      <c r="G13" s="45"/>
      <c r="I13" s="45"/>
      <c r="J13" s="45"/>
    </row>
    <row r="14" spans="1:10" ht="13" hidden="1" x14ac:dyDescent="0.15">
      <c r="B14" s="41" t="s">
        <v>15</v>
      </c>
      <c r="G14" s="45"/>
      <c r="I14" s="45"/>
      <c r="J14" s="45"/>
    </row>
    <row r="15" spans="1:10" ht="14" hidden="1" x14ac:dyDescent="0.2">
      <c r="B15" s="41" t="s">
        <v>16</v>
      </c>
      <c r="D15" s="38" t="s">
        <v>120</v>
      </c>
      <c r="E15"/>
      <c r="F15"/>
      <c r="G15" s="18"/>
      <c r="I15" s="45"/>
    </row>
    <row r="16" spans="1:10" ht="14" hidden="1" x14ac:dyDescent="0.2">
      <c r="B16" s="41" t="s">
        <v>18</v>
      </c>
      <c r="D16" s="38"/>
      <c r="E16"/>
      <c r="F16"/>
      <c r="G16" s="45"/>
      <c r="I16" s="45"/>
    </row>
    <row r="17" spans="1:10" ht="13" hidden="1" x14ac:dyDescent="0.15">
      <c r="B17" s="41" t="s">
        <v>19</v>
      </c>
      <c r="G17" s="45"/>
      <c r="I17" s="45"/>
    </row>
    <row r="18" spans="1:10" ht="13" hidden="1" x14ac:dyDescent="0.15">
      <c r="B18" s="41" t="s">
        <v>20</v>
      </c>
      <c r="G18" s="45"/>
      <c r="H18" s="45"/>
      <c r="I18" s="45"/>
      <c r="J18" s="45"/>
    </row>
    <row r="19" spans="1:10" ht="13" hidden="1" x14ac:dyDescent="0.15">
      <c r="B19" s="41" t="s">
        <v>21</v>
      </c>
      <c r="G19" s="45"/>
      <c r="J19" s="45"/>
    </row>
    <row r="20" spans="1:10" ht="13" hidden="1" x14ac:dyDescent="0.15">
      <c r="B20" s="41" t="s">
        <v>131</v>
      </c>
      <c r="D20" s="22" t="s">
        <v>132</v>
      </c>
      <c r="E20" s="1"/>
      <c r="F20" s="22"/>
      <c r="G20" s="100"/>
      <c r="H20" s="15"/>
      <c r="I20" s="45">
        <f>(I7-I8)*10%</f>
        <v>0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138</v>
      </c>
      <c r="B24" s="70"/>
      <c r="C24" s="67"/>
      <c r="D24" s="67"/>
      <c r="E24" s="67"/>
      <c r="F24" s="65" t="s">
        <v>11</v>
      </c>
      <c r="G24" s="64">
        <f>(G10-G11)-SUM(G12:G13)</f>
        <v>1340000</v>
      </c>
      <c r="I24" s="45"/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160800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93800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93800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1594600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44075.451322222223</v>
      </c>
      <c r="G31" s="18">
        <v>20000</v>
      </c>
    </row>
    <row r="32" spans="1:10" ht="13.5" customHeight="1" thickTop="1" x14ac:dyDescent="0.15">
      <c r="A32" s="68" t="s">
        <v>139</v>
      </c>
      <c r="B32" s="67"/>
      <c r="C32" s="67"/>
      <c r="D32" s="67"/>
      <c r="E32" s="66"/>
      <c r="F32" s="65" t="s">
        <v>11</v>
      </c>
      <c r="G32" s="64">
        <f>G30-G31</f>
        <v>1574600</v>
      </c>
    </row>
    <row r="33" spans="1:9" ht="13" hidden="1" x14ac:dyDescent="0.15">
      <c r="A33" s="69">
        <v>100</v>
      </c>
      <c r="B33" s="62">
        <v>0</v>
      </c>
    </row>
    <row r="34" spans="1:9" ht="13" x14ac:dyDescent="0.15">
      <c r="A34" s="62">
        <f>A33-B33</f>
        <v>100</v>
      </c>
      <c r="B34" s="60" t="str">
        <f>CONCATENATE("Balance is due and payable in " &amp; A38 &amp; " months at 0% intrest")</f>
        <v>Balance is due and payable in 48 months at 0% intrest</v>
      </c>
      <c r="E34" s="51"/>
      <c r="F34" s="50"/>
      <c r="G34" s="45">
        <f>SUM(G24:G25)-G31</f>
        <v>1480800</v>
      </c>
      <c r="I34" s="45"/>
    </row>
    <row r="35" spans="1:9" ht="13.5" customHeight="1" thickBot="1" x14ac:dyDescent="0.2">
      <c r="B35" s="60" t="str">
        <f>IF(LumpOCDate&lt;&gt;"","Other Charges is payable on or before","Other Charges")</f>
        <v>Other Charges</v>
      </c>
      <c r="E35" s="51"/>
      <c r="F35" s="50"/>
      <c r="G35" s="45">
        <f>G29</f>
        <v>93800</v>
      </c>
    </row>
    <row r="36" spans="1:9" ht="13.5" customHeight="1" thickTop="1" x14ac:dyDescent="0.15">
      <c r="B36" s="44"/>
      <c r="E36" s="51"/>
      <c r="F36" s="50"/>
      <c r="G36" s="61">
        <f>SUM(G34:G35)</f>
        <v>1574600</v>
      </c>
    </row>
    <row r="37" spans="1:9" ht="13" x14ac:dyDescent="0.15">
      <c r="B37" s="60"/>
      <c r="E37" s="51"/>
      <c r="F37" s="50"/>
      <c r="G37" s="49"/>
    </row>
    <row r="38" spans="1:9" ht="25.5" customHeight="1" x14ac:dyDescent="0.15">
      <c r="A38" s="59">
        <v>48</v>
      </c>
      <c r="B38" s="156" t="s">
        <v>36</v>
      </c>
      <c r="C38" s="156"/>
      <c r="D38" s="129" t="s">
        <v>37</v>
      </c>
      <c r="E38" s="58" t="s">
        <v>38</v>
      </c>
      <c r="F38" s="57" t="s">
        <v>27</v>
      </c>
      <c r="G38" s="56" t="s">
        <v>39</v>
      </c>
    </row>
    <row r="39" spans="1:9" ht="13" x14ac:dyDescent="0.15">
      <c r="A39" s="155" t="s">
        <v>40</v>
      </c>
      <c r="B39" s="155"/>
      <c r="C39" s="155"/>
      <c r="D39" s="31">
        <f ca="1">ReservationDate+30</f>
        <v>44105.451322222223</v>
      </c>
      <c r="E39" s="54">
        <f>ROUND(G34/A38,2)</f>
        <v>30850</v>
      </c>
      <c r="F39" s="53">
        <f>ROUND(IF(LumpOCDate&lt;&gt;"",IF(D39=LumpOCDate,$G$35,0),$G$35/NoDPSchedule),2)</f>
        <v>1954.17</v>
      </c>
      <c r="G39" s="45">
        <f>SUM(E39:F39)</f>
        <v>32804.17</v>
      </c>
    </row>
    <row r="40" spans="1:9" ht="13" x14ac:dyDescent="0.15">
      <c r="A40" s="155" t="s">
        <v>41</v>
      </c>
      <c r="B40" s="155"/>
      <c r="C40" s="155"/>
      <c r="D40" s="31">
        <v>44137</v>
      </c>
      <c r="E40" s="54">
        <f t="shared" ref="E40:E47" si="0">IF($A$38&lt;VALUE(LEFT(A40,1))," ",IF($A$38=VALUE(LEFT(A40,1)),$G$34-($E$39*($A$38-1)),E39))</f>
        <v>30850</v>
      </c>
      <c r="F40" s="53">
        <f t="shared" ref="F40:F47" si="1">IF($A$38&lt;VALUE(LEFT(A40,1))," ",IF($A$38=VALUE(LEFT(A40,1)),$G$35-($F$39*($A$38-1)),F39))</f>
        <v>1954.17</v>
      </c>
      <c r="G40" s="45">
        <f t="shared" ref="G40:G47" si="2">IF(NoDPSchedule&lt;VALUE(LEFT(A40,1))," ",SUM(E40:F40))</f>
        <v>32804.17</v>
      </c>
    </row>
    <row r="41" spans="1:9" ht="13" x14ac:dyDescent="0.15">
      <c r="A41" s="155" t="s">
        <v>42</v>
      </c>
      <c r="B41" s="155"/>
      <c r="C41" s="155"/>
      <c r="D41" s="31">
        <v>44167</v>
      </c>
      <c r="E41" s="54">
        <f t="shared" si="0"/>
        <v>30850</v>
      </c>
      <c r="F41" s="53">
        <f t="shared" si="1"/>
        <v>1954.17</v>
      </c>
      <c r="G41" s="45">
        <f t="shared" si="2"/>
        <v>32804.17</v>
      </c>
    </row>
    <row r="42" spans="1:9" ht="13" x14ac:dyDescent="0.15">
      <c r="A42" s="155" t="s">
        <v>43</v>
      </c>
      <c r="B42" s="155"/>
      <c r="C42" s="155"/>
      <c r="D42" s="31">
        <v>44198</v>
      </c>
      <c r="E42" s="54">
        <f t="shared" si="0"/>
        <v>30850</v>
      </c>
      <c r="F42" s="53">
        <f t="shared" si="1"/>
        <v>1954.17</v>
      </c>
      <c r="G42" s="45">
        <f t="shared" si="2"/>
        <v>32804.17</v>
      </c>
    </row>
    <row r="43" spans="1:9" ht="13" x14ac:dyDescent="0.15">
      <c r="A43" s="155" t="s">
        <v>44</v>
      </c>
      <c r="B43" s="155"/>
      <c r="C43" s="155"/>
      <c r="D43" s="31">
        <v>44229</v>
      </c>
      <c r="E43" s="54">
        <f t="shared" si="0"/>
        <v>30850</v>
      </c>
      <c r="F43" s="53">
        <f t="shared" si="1"/>
        <v>1954.17</v>
      </c>
      <c r="G43" s="45">
        <f t="shared" si="2"/>
        <v>32804.17</v>
      </c>
    </row>
    <row r="44" spans="1:9" ht="13" x14ac:dyDescent="0.15">
      <c r="A44" s="155" t="s">
        <v>45</v>
      </c>
      <c r="B44" s="155"/>
      <c r="C44" s="155"/>
      <c r="D44" s="31">
        <v>44257</v>
      </c>
      <c r="E44" s="54">
        <f t="shared" si="0"/>
        <v>30850</v>
      </c>
      <c r="F44" s="53">
        <f t="shared" si="1"/>
        <v>1954.17</v>
      </c>
      <c r="G44" s="45">
        <f t="shared" si="2"/>
        <v>32804.17</v>
      </c>
    </row>
    <row r="45" spans="1:9" ht="13" x14ac:dyDescent="0.15">
      <c r="A45" s="155" t="s">
        <v>46</v>
      </c>
      <c r="B45" s="155"/>
      <c r="C45" s="155"/>
      <c r="D45" s="31">
        <v>44288</v>
      </c>
      <c r="E45" s="54">
        <f t="shared" si="0"/>
        <v>30850</v>
      </c>
      <c r="F45" s="53">
        <f t="shared" si="1"/>
        <v>1954.17</v>
      </c>
      <c r="G45" s="45">
        <f t="shared" si="2"/>
        <v>32804.17</v>
      </c>
    </row>
    <row r="46" spans="1:9" ht="13" x14ac:dyDescent="0.15">
      <c r="A46" s="155" t="s">
        <v>47</v>
      </c>
      <c r="B46" s="155"/>
      <c r="C46" s="155"/>
      <c r="D46" s="31">
        <v>44318</v>
      </c>
      <c r="E46" s="54">
        <f t="shared" si="0"/>
        <v>30850</v>
      </c>
      <c r="F46" s="53">
        <f t="shared" si="1"/>
        <v>1954.17</v>
      </c>
      <c r="G46" s="45">
        <f t="shared" si="2"/>
        <v>32804.17</v>
      </c>
    </row>
    <row r="47" spans="1:9" ht="13" x14ac:dyDescent="0.15">
      <c r="A47" s="155" t="s">
        <v>48</v>
      </c>
      <c r="B47" s="155"/>
      <c r="C47" s="155"/>
      <c r="D47" s="31">
        <v>44349</v>
      </c>
      <c r="E47" s="54">
        <f t="shared" si="0"/>
        <v>30850</v>
      </c>
      <c r="F47" s="53">
        <f t="shared" si="1"/>
        <v>1954.17</v>
      </c>
      <c r="G47" s="45">
        <f t="shared" si="2"/>
        <v>32804.17</v>
      </c>
    </row>
    <row r="48" spans="1:9" ht="13" x14ac:dyDescent="0.15">
      <c r="A48" s="155" t="s">
        <v>49</v>
      </c>
      <c r="B48" s="155"/>
      <c r="C48" s="155"/>
      <c r="D48" s="31">
        <v>44379</v>
      </c>
      <c r="E48" s="54">
        <f t="shared" ref="E48:E80" si="3">IF($A$38&lt;VALUE(LEFT(A48,2))," ",IF($A$38=VALUE(LEFT(A48,2)),$G$34-($E$39*($A$38-1)),E47))</f>
        <v>30850</v>
      </c>
      <c r="F48" s="53">
        <f t="shared" ref="F48:F80" si="4">IF($A$38&lt;VALUE(LEFT(A48,2))," ",IF($A$38=VALUE(LEFT(A48,2)),$G$35-($F$39*($A$38-1)),F47))</f>
        <v>1954.17</v>
      </c>
      <c r="G48" s="45">
        <f t="shared" ref="G48:G80" si="5">IF(NoDPSchedule&lt;VALUE(LEFT(A48,2))," ",SUM(E48:F48))</f>
        <v>32804.17</v>
      </c>
    </row>
    <row r="49" spans="1:7" ht="13" x14ac:dyDescent="0.15">
      <c r="A49" s="155" t="s">
        <v>50</v>
      </c>
      <c r="B49" s="155"/>
      <c r="C49" s="155"/>
      <c r="D49" s="31">
        <v>44410</v>
      </c>
      <c r="E49" s="54">
        <f t="shared" si="3"/>
        <v>30850</v>
      </c>
      <c r="F49" s="53">
        <f t="shared" si="4"/>
        <v>1954.17</v>
      </c>
      <c r="G49" s="45">
        <f t="shared" si="5"/>
        <v>32804.17</v>
      </c>
    </row>
    <row r="50" spans="1:7" ht="13" x14ac:dyDescent="0.15">
      <c r="A50" s="155" t="s">
        <v>51</v>
      </c>
      <c r="B50" s="155"/>
      <c r="C50" s="155"/>
      <c r="D50" s="31">
        <v>44441</v>
      </c>
      <c r="E50" s="54">
        <f t="shared" si="3"/>
        <v>30850</v>
      </c>
      <c r="F50" s="53">
        <f t="shared" si="4"/>
        <v>1954.17</v>
      </c>
      <c r="G50" s="45">
        <f t="shared" si="5"/>
        <v>32804.17</v>
      </c>
    </row>
    <row r="51" spans="1:7" ht="13" x14ac:dyDescent="0.15">
      <c r="A51" s="155" t="s">
        <v>52</v>
      </c>
      <c r="B51" s="155"/>
      <c r="C51" s="155"/>
      <c r="D51" s="31">
        <v>44471</v>
      </c>
      <c r="E51" s="54">
        <f t="shared" si="3"/>
        <v>30850</v>
      </c>
      <c r="F51" s="53">
        <f t="shared" si="4"/>
        <v>1954.17</v>
      </c>
      <c r="G51" s="45">
        <f t="shared" si="5"/>
        <v>32804.17</v>
      </c>
    </row>
    <row r="52" spans="1:7" ht="13" x14ac:dyDescent="0.15">
      <c r="A52" s="155" t="s">
        <v>53</v>
      </c>
      <c r="B52" s="155"/>
      <c r="C52" s="155"/>
      <c r="D52" s="31">
        <v>44502</v>
      </c>
      <c r="E52" s="54">
        <f t="shared" si="3"/>
        <v>30850</v>
      </c>
      <c r="F52" s="53">
        <f t="shared" si="4"/>
        <v>1954.17</v>
      </c>
      <c r="G52" s="45">
        <f t="shared" si="5"/>
        <v>32804.17</v>
      </c>
    </row>
    <row r="53" spans="1:7" ht="13" x14ac:dyDescent="0.15">
      <c r="A53" s="155" t="s">
        <v>54</v>
      </c>
      <c r="B53" s="155"/>
      <c r="C53" s="155"/>
      <c r="D53" s="31">
        <v>44532</v>
      </c>
      <c r="E53" s="54">
        <f t="shared" si="3"/>
        <v>30850</v>
      </c>
      <c r="F53" s="53">
        <f t="shared" si="4"/>
        <v>1954.17</v>
      </c>
      <c r="G53" s="45">
        <f t="shared" si="5"/>
        <v>32804.17</v>
      </c>
    </row>
    <row r="54" spans="1:7" ht="13" x14ac:dyDescent="0.15">
      <c r="A54" s="155" t="s">
        <v>55</v>
      </c>
      <c r="B54" s="155"/>
      <c r="C54" s="155"/>
      <c r="D54" s="31">
        <v>44563</v>
      </c>
      <c r="E54" s="54">
        <f t="shared" si="3"/>
        <v>30850</v>
      </c>
      <c r="F54" s="53">
        <f t="shared" si="4"/>
        <v>1954.17</v>
      </c>
      <c r="G54" s="45">
        <f t="shared" si="5"/>
        <v>32804.17</v>
      </c>
    </row>
    <row r="55" spans="1:7" ht="13" x14ac:dyDescent="0.15">
      <c r="A55" s="155" t="s">
        <v>56</v>
      </c>
      <c r="B55" s="155"/>
      <c r="C55" s="155"/>
      <c r="D55" s="31">
        <v>44594</v>
      </c>
      <c r="E55" s="54">
        <f t="shared" si="3"/>
        <v>30850</v>
      </c>
      <c r="F55" s="53">
        <f t="shared" si="4"/>
        <v>1954.17</v>
      </c>
      <c r="G55" s="45">
        <f t="shared" si="5"/>
        <v>32804.17</v>
      </c>
    </row>
    <row r="56" spans="1:7" ht="13" x14ac:dyDescent="0.15">
      <c r="A56" s="155" t="s">
        <v>57</v>
      </c>
      <c r="B56" s="155"/>
      <c r="C56" s="155"/>
      <c r="D56" s="31">
        <v>44622</v>
      </c>
      <c r="E56" s="54">
        <f t="shared" si="3"/>
        <v>30850</v>
      </c>
      <c r="F56" s="53">
        <f t="shared" si="4"/>
        <v>1954.17</v>
      </c>
      <c r="G56" s="45">
        <f t="shared" si="5"/>
        <v>32804.17</v>
      </c>
    </row>
    <row r="57" spans="1:7" ht="13" x14ac:dyDescent="0.15">
      <c r="A57" s="155" t="s">
        <v>58</v>
      </c>
      <c r="B57" s="155"/>
      <c r="C57" s="155"/>
      <c r="D57" s="31">
        <v>44653</v>
      </c>
      <c r="E57" s="54">
        <f t="shared" si="3"/>
        <v>30850</v>
      </c>
      <c r="F57" s="53">
        <f t="shared" si="4"/>
        <v>1954.17</v>
      </c>
      <c r="G57" s="45">
        <f t="shared" si="5"/>
        <v>32804.17</v>
      </c>
    </row>
    <row r="58" spans="1:7" ht="13" x14ac:dyDescent="0.15">
      <c r="A58" s="155" t="s">
        <v>59</v>
      </c>
      <c r="B58" s="155"/>
      <c r="C58" s="155"/>
      <c r="D58" s="31">
        <v>44683</v>
      </c>
      <c r="E58" s="54">
        <f t="shared" si="3"/>
        <v>30850</v>
      </c>
      <c r="F58" s="53">
        <f t="shared" si="4"/>
        <v>1954.17</v>
      </c>
      <c r="G58" s="45">
        <f t="shared" si="5"/>
        <v>32804.17</v>
      </c>
    </row>
    <row r="59" spans="1:7" ht="13" x14ac:dyDescent="0.15">
      <c r="A59" s="155" t="s">
        <v>60</v>
      </c>
      <c r="B59" s="155"/>
      <c r="C59" s="155"/>
      <c r="D59" s="31">
        <v>44714</v>
      </c>
      <c r="E59" s="54">
        <f t="shared" si="3"/>
        <v>30850</v>
      </c>
      <c r="F59" s="53">
        <f t="shared" si="4"/>
        <v>1954.17</v>
      </c>
      <c r="G59" s="45">
        <f t="shared" si="5"/>
        <v>32804.17</v>
      </c>
    </row>
    <row r="60" spans="1:7" ht="13" x14ac:dyDescent="0.15">
      <c r="A60" s="155" t="s">
        <v>61</v>
      </c>
      <c r="B60" s="155"/>
      <c r="C60" s="155"/>
      <c r="D60" s="31">
        <v>44744</v>
      </c>
      <c r="E60" s="54">
        <f t="shared" si="3"/>
        <v>30850</v>
      </c>
      <c r="F60" s="53">
        <f t="shared" si="4"/>
        <v>1954.17</v>
      </c>
      <c r="G60" s="45">
        <f t="shared" si="5"/>
        <v>32804.17</v>
      </c>
    </row>
    <row r="61" spans="1:7" ht="13" x14ac:dyDescent="0.15">
      <c r="A61" s="155" t="s">
        <v>62</v>
      </c>
      <c r="B61" s="155"/>
      <c r="C61" s="155"/>
      <c r="D61" s="31">
        <v>44775</v>
      </c>
      <c r="E61" s="54">
        <f t="shared" si="3"/>
        <v>30850</v>
      </c>
      <c r="F61" s="53">
        <f t="shared" si="4"/>
        <v>1954.17</v>
      </c>
      <c r="G61" s="45">
        <f t="shared" si="5"/>
        <v>32804.17</v>
      </c>
    </row>
    <row r="62" spans="1:7" ht="13" x14ac:dyDescent="0.15">
      <c r="A62" s="155" t="s">
        <v>63</v>
      </c>
      <c r="B62" s="155"/>
      <c r="C62" s="155"/>
      <c r="D62" s="31">
        <v>44806</v>
      </c>
      <c r="E62" s="54">
        <f t="shared" si="3"/>
        <v>30850</v>
      </c>
      <c r="F62" s="53">
        <f t="shared" si="4"/>
        <v>1954.17</v>
      </c>
      <c r="G62" s="45">
        <f t="shared" si="5"/>
        <v>32804.17</v>
      </c>
    </row>
    <row r="63" spans="1:7" ht="13" x14ac:dyDescent="0.15">
      <c r="A63" s="155" t="s">
        <v>64</v>
      </c>
      <c r="B63" s="155"/>
      <c r="C63" s="155"/>
      <c r="D63" s="31">
        <v>44836</v>
      </c>
      <c r="E63" s="54">
        <f t="shared" si="3"/>
        <v>30850</v>
      </c>
      <c r="F63" s="53">
        <f t="shared" si="4"/>
        <v>1954.17</v>
      </c>
      <c r="G63" s="45">
        <f t="shared" si="5"/>
        <v>32804.17</v>
      </c>
    </row>
    <row r="64" spans="1:7" ht="13" x14ac:dyDescent="0.15">
      <c r="A64" s="155" t="s">
        <v>65</v>
      </c>
      <c r="B64" s="155"/>
      <c r="C64" s="155"/>
      <c r="D64" s="31">
        <v>44867</v>
      </c>
      <c r="E64" s="54">
        <f t="shared" si="3"/>
        <v>30850</v>
      </c>
      <c r="F64" s="53">
        <f t="shared" si="4"/>
        <v>1954.17</v>
      </c>
      <c r="G64" s="45">
        <f t="shared" si="5"/>
        <v>32804.17</v>
      </c>
    </row>
    <row r="65" spans="1:7" ht="13" x14ac:dyDescent="0.15">
      <c r="A65" s="155" t="s">
        <v>66</v>
      </c>
      <c r="B65" s="155"/>
      <c r="C65" s="155"/>
      <c r="D65" s="31">
        <v>44897</v>
      </c>
      <c r="E65" s="54">
        <f t="shared" si="3"/>
        <v>30850</v>
      </c>
      <c r="F65" s="53">
        <f t="shared" si="4"/>
        <v>1954.17</v>
      </c>
      <c r="G65" s="45">
        <f t="shared" si="5"/>
        <v>32804.17</v>
      </c>
    </row>
    <row r="66" spans="1:7" ht="13" x14ac:dyDescent="0.15">
      <c r="A66" s="155" t="s">
        <v>67</v>
      </c>
      <c r="B66" s="155"/>
      <c r="C66" s="155"/>
      <c r="D66" s="31">
        <v>44928</v>
      </c>
      <c r="E66" s="54">
        <f t="shared" si="3"/>
        <v>30850</v>
      </c>
      <c r="F66" s="53">
        <f t="shared" si="4"/>
        <v>1954.17</v>
      </c>
      <c r="G66" s="45">
        <f t="shared" si="5"/>
        <v>32804.17</v>
      </c>
    </row>
    <row r="67" spans="1:7" ht="13" x14ac:dyDescent="0.15">
      <c r="A67" s="155" t="s">
        <v>68</v>
      </c>
      <c r="B67" s="155"/>
      <c r="C67" s="155"/>
      <c r="D67" s="31">
        <v>44959</v>
      </c>
      <c r="E67" s="54">
        <f t="shared" si="3"/>
        <v>30850</v>
      </c>
      <c r="F67" s="53">
        <f t="shared" si="4"/>
        <v>1954.17</v>
      </c>
      <c r="G67" s="45">
        <f t="shared" si="5"/>
        <v>32804.17</v>
      </c>
    </row>
    <row r="68" spans="1:7" ht="13" x14ac:dyDescent="0.15">
      <c r="A68" s="155" t="s">
        <v>69</v>
      </c>
      <c r="B68" s="155"/>
      <c r="C68" s="155"/>
      <c r="D68" s="31">
        <v>44987</v>
      </c>
      <c r="E68" s="54">
        <f t="shared" si="3"/>
        <v>30850</v>
      </c>
      <c r="F68" s="53">
        <f t="shared" si="4"/>
        <v>1954.17</v>
      </c>
      <c r="G68" s="45">
        <f t="shared" si="5"/>
        <v>32804.17</v>
      </c>
    </row>
    <row r="69" spans="1:7" ht="13" x14ac:dyDescent="0.15">
      <c r="A69" s="155" t="s">
        <v>70</v>
      </c>
      <c r="B69" s="155"/>
      <c r="C69" s="155"/>
      <c r="D69" s="31">
        <v>45018</v>
      </c>
      <c r="E69" s="54">
        <f t="shared" si="3"/>
        <v>30850</v>
      </c>
      <c r="F69" s="53">
        <f t="shared" si="4"/>
        <v>1954.17</v>
      </c>
      <c r="G69" s="45">
        <f t="shared" si="5"/>
        <v>32804.17</v>
      </c>
    </row>
    <row r="70" spans="1:7" ht="13" x14ac:dyDescent="0.15">
      <c r="A70" s="155" t="s">
        <v>71</v>
      </c>
      <c r="B70" s="155"/>
      <c r="C70" s="155"/>
      <c r="D70" s="31">
        <v>45048</v>
      </c>
      <c r="E70" s="54">
        <f t="shared" si="3"/>
        <v>30850</v>
      </c>
      <c r="F70" s="53">
        <f t="shared" si="4"/>
        <v>1954.17</v>
      </c>
      <c r="G70" s="45">
        <f t="shared" si="5"/>
        <v>32804.17</v>
      </c>
    </row>
    <row r="71" spans="1:7" ht="13" x14ac:dyDescent="0.15">
      <c r="A71" s="155" t="s">
        <v>72</v>
      </c>
      <c r="B71" s="155"/>
      <c r="C71" s="155"/>
      <c r="D71" s="31">
        <v>45079</v>
      </c>
      <c r="E71" s="54">
        <f t="shared" si="3"/>
        <v>30850</v>
      </c>
      <c r="F71" s="53">
        <f t="shared" si="4"/>
        <v>1954.17</v>
      </c>
      <c r="G71" s="45">
        <f t="shared" si="5"/>
        <v>32804.17</v>
      </c>
    </row>
    <row r="72" spans="1:7" ht="13" x14ac:dyDescent="0.15">
      <c r="A72" s="155" t="s">
        <v>73</v>
      </c>
      <c r="B72" s="155"/>
      <c r="C72" s="155"/>
      <c r="D72" s="31">
        <v>45109</v>
      </c>
      <c r="E72" s="54">
        <f t="shared" si="3"/>
        <v>30850</v>
      </c>
      <c r="F72" s="53">
        <f t="shared" si="4"/>
        <v>1954.17</v>
      </c>
      <c r="G72" s="45">
        <f t="shared" si="5"/>
        <v>32804.17</v>
      </c>
    </row>
    <row r="73" spans="1:7" ht="13" x14ac:dyDescent="0.15">
      <c r="A73" s="155" t="s">
        <v>74</v>
      </c>
      <c r="B73" s="155"/>
      <c r="C73" s="155"/>
      <c r="D73" s="31">
        <v>45140</v>
      </c>
      <c r="E73" s="54">
        <f t="shared" si="3"/>
        <v>30850</v>
      </c>
      <c r="F73" s="53">
        <f t="shared" si="4"/>
        <v>1954.17</v>
      </c>
      <c r="G73" s="45">
        <f t="shared" si="5"/>
        <v>32804.17</v>
      </c>
    </row>
    <row r="74" spans="1:7" ht="13" x14ac:dyDescent="0.15">
      <c r="A74" s="155" t="s">
        <v>75</v>
      </c>
      <c r="B74" s="155"/>
      <c r="C74" s="155"/>
      <c r="D74" s="31">
        <v>45171</v>
      </c>
      <c r="E74" s="54">
        <f t="shared" si="3"/>
        <v>30850</v>
      </c>
      <c r="F74" s="53">
        <f t="shared" si="4"/>
        <v>1954.17</v>
      </c>
      <c r="G74" s="45">
        <f t="shared" si="5"/>
        <v>32804.17</v>
      </c>
    </row>
    <row r="75" spans="1:7" ht="13" x14ac:dyDescent="0.15">
      <c r="A75" s="155" t="s">
        <v>76</v>
      </c>
      <c r="B75" s="155"/>
      <c r="C75" s="155"/>
      <c r="D75" s="31">
        <v>45201</v>
      </c>
      <c r="E75" s="54">
        <f t="shared" si="3"/>
        <v>30850</v>
      </c>
      <c r="F75" s="53">
        <f t="shared" si="4"/>
        <v>1954.17</v>
      </c>
      <c r="G75" s="45">
        <f t="shared" si="5"/>
        <v>32804.17</v>
      </c>
    </row>
    <row r="76" spans="1:7" ht="13" x14ac:dyDescent="0.15">
      <c r="A76" s="155" t="s">
        <v>77</v>
      </c>
      <c r="B76" s="155"/>
      <c r="C76" s="155"/>
      <c r="D76" s="31">
        <v>45232</v>
      </c>
      <c r="E76" s="54">
        <f t="shared" si="3"/>
        <v>30850</v>
      </c>
      <c r="F76" s="53">
        <f t="shared" si="4"/>
        <v>1954.17</v>
      </c>
      <c r="G76" s="45">
        <f t="shared" si="5"/>
        <v>32804.17</v>
      </c>
    </row>
    <row r="77" spans="1:7" ht="13" x14ac:dyDescent="0.15">
      <c r="A77" s="155" t="s">
        <v>78</v>
      </c>
      <c r="B77" s="155"/>
      <c r="C77" s="155"/>
      <c r="D77" s="31">
        <v>45262</v>
      </c>
      <c r="E77" s="54">
        <f t="shared" si="3"/>
        <v>30850</v>
      </c>
      <c r="F77" s="53">
        <f t="shared" si="4"/>
        <v>1954.17</v>
      </c>
      <c r="G77" s="45">
        <f t="shared" si="5"/>
        <v>32804.17</v>
      </c>
    </row>
    <row r="78" spans="1:7" ht="13" x14ac:dyDescent="0.15">
      <c r="A78" s="155" t="s">
        <v>79</v>
      </c>
      <c r="B78" s="155"/>
      <c r="C78" s="155"/>
      <c r="D78" s="31">
        <v>45293</v>
      </c>
      <c r="E78" s="54">
        <f t="shared" si="3"/>
        <v>30850</v>
      </c>
      <c r="F78" s="53">
        <f t="shared" si="4"/>
        <v>1954.17</v>
      </c>
      <c r="G78" s="45">
        <f t="shared" si="5"/>
        <v>32804.17</v>
      </c>
    </row>
    <row r="79" spans="1:7" ht="13" x14ac:dyDescent="0.15">
      <c r="A79" s="155" t="s">
        <v>80</v>
      </c>
      <c r="B79" s="155"/>
      <c r="C79" s="155"/>
      <c r="D79" s="31">
        <v>45324</v>
      </c>
      <c r="E79" s="54">
        <f t="shared" si="3"/>
        <v>30850</v>
      </c>
      <c r="F79" s="53">
        <f t="shared" si="4"/>
        <v>1954.17</v>
      </c>
      <c r="G79" s="45">
        <f t="shared" si="5"/>
        <v>32804.17</v>
      </c>
    </row>
    <row r="80" spans="1:7" ht="13" x14ac:dyDescent="0.15">
      <c r="A80" s="155" t="s">
        <v>81</v>
      </c>
      <c r="B80" s="155"/>
      <c r="C80" s="155"/>
      <c r="D80" s="31">
        <v>45353</v>
      </c>
      <c r="E80" s="54">
        <f t="shared" si="3"/>
        <v>30850</v>
      </c>
      <c r="F80" s="53">
        <f t="shared" si="4"/>
        <v>1954.17</v>
      </c>
      <c r="G80" s="45">
        <f t="shared" si="5"/>
        <v>32804.17</v>
      </c>
    </row>
    <row r="81" spans="1:7" ht="13" x14ac:dyDescent="0.15">
      <c r="A81" s="155" t="s">
        <v>82</v>
      </c>
      <c r="B81" s="155"/>
      <c r="C81" s="155"/>
      <c r="D81" s="31">
        <v>45384</v>
      </c>
      <c r="E81" s="54">
        <f t="shared" ref="E81:E86" si="6">IF($A$38&lt;VALUE(LEFT(A81,2))," ",IF($A$38=VALUE(LEFT(A81,2)),$G$34-($E$39*($A$38-1)),E80))</f>
        <v>30850</v>
      </c>
      <c r="F81" s="53">
        <f t="shared" ref="F81:F86" si="7">IF($A$38&lt;VALUE(LEFT(A81,2))," ",IF($A$38=VALUE(LEFT(A81,2)),$G$35-($F$39*($A$38-1)),F80))</f>
        <v>1954.17</v>
      </c>
      <c r="G81" s="45">
        <f t="shared" ref="G81:G86" si="8">IF(NoDPSchedule&lt;VALUE(LEFT(A81,2))," ",SUM(E81:F81))</f>
        <v>32804.17</v>
      </c>
    </row>
    <row r="82" spans="1:7" ht="13" x14ac:dyDescent="0.15">
      <c r="A82" s="155" t="s">
        <v>83</v>
      </c>
      <c r="B82" s="155"/>
      <c r="C82" s="155"/>
      <c r="D82" s="31">
        <v>45414</v>
      </c>
      <c r="E82" s="54">
        <f t="shared" si="6"/>
        <v>30850</v>
      </c>
      <c r="F82" s="53">
        <f t="shared" si="7"/>
        <v>1954.17</v>
      </c>
      <c r="G82" s="45">
        <f t="shared" si="8"/>
        <v>32804.17</v>
      </c>
    </row>
    <row r="83" spans="1:7" ht="13" x14ac:dyDescent="0.15">
      <c r="A83" s="155" t="s">
        <v>84</v>
      </c>
      <c r="B83" s="155"/>
      <c r="C83" s="155"/>
      <c r="D83" s="31">
        <v>45445</v>
      </c>
      <c r="E83" s="54">
        <f t="shared" si="6"/>
        <v>30850</v>
      </c>
      <c r="F83" s="53">
        <f t="shared" si="7"/>
        <v>1954.17</v>
      </c>
      <c r="G83" s="45">
        <f t="shared" si="8"/>
        <v>32804.17</v>
      </c>
    </row>
    <row r="84" spans="1:7" ht="13" x14ac:dyDescent="0.15">
      <c r="A84" s="155" t="s">
        <v>85</v>
      </c>
      <c r="B84" s="155"/>
      <c r="C84" s="155"/>
      <c r="D84" s="31">
        <v>45475</v>
      </c>
      <c r="E84" s="54">
        <f t="shared" si="6"/>
        <v>30850</v>
      </c>
      <c r="F84" s="53">
        <f t="shared" si="7"/>
        <v>1954.17</v>
      </c>
      <c r="G84" s="45">
        <f t="shared" si="8"/>
        <v>32804.17</v>
      </c>
    </row>
    <row r="85" spans="1:7" ht="13" x14ac:dyDescent="0.15">
      <c r="A85" s="155" t="s">
        <v>86</v>
      </c>
      <c r="B85" s="155"/>
      <c r="C85" s="155"/>
      <c r="D85" s="31">
        <v>45506</v>
      </c>
      <c r="E85" s="54">
        <f t="shared" si="6"/>
        <v>30850</v>
      </c>
      <c r="F85" s="53">
        <f t="shared" si="7"/>
        <v>1954.17</v>
      </c>
      <c r="G85" s="45">
        <f t="shared" si="8"/>
        <v>32804.17</v>
      </c>
    </row>
    <row r="86" spans="1:7" ht="13" x14ac:dyDescent="0.15">
      <c r="A86" s="155" t="s">
        <v>87</v>
      </c>
      <c r="B86" s="155"/>
      <c r="C86" s="155"/>
      <c r="D86" s="31">
        <v>45537</v>
      </c>
      <c r="E86" s="54">
        <f t="shared" si="6"/>
        <v>30850</v>
      </c>
      <c r="F86" s="53">
        <f t="shared" si="7"/>
        <v>1954.0099999999948</v>
      </c>
      <c r="G86" s="45">
        <f t="shared" si="8"/>
        <v>32804.009999999995</v>
      </c>
    </row>
    <row r="87" spans="1:7" ht="13" x14ac:dyDescent="0.15">
      <c r="A87" s="128"/>
      <c r="B87" s="128"/>
      <c r="C87" s="128"/>
      <c r="D87" s="55"/>
      <c r="E87" s="54"/>
      <c r="F87" s="53"/>
      <c r="G87" s="45"/>
    </row>
    <row r="88" spans="1:7" ht="13" hidden="1" x14ac:dyDescent="0.15">
      <c r="A88" s="128"/>
      <c r="B88" s="128"/>
      <c r="C88" s="128"/>
      <c r="D88" s="55"/>
      <c r="E88" s="54"/>
      <c r="F88" s="53"/>
      <c r="G88" s="45"/>
    </row>
    <row r="89" spans="1:7" ht="12.75" hidden="1" customHeight="1" x14ac:dyDescent="0.15"/>
    <row r="90" spans="1:7" ht="13" x14ac:dyDescent="0.15">
      <c r="A90" s="44" t="s">
        <v>96</v>
      </c>
      <c r="B90" s="43"/>
      <c r="C90" s="43"/>
      <c r="D90" s="43"/>
    </row>
    <row r="91" spans="1:7" ht="13" x14ac:dyDescent="0.15">
      <c r="A91" s="154" t="s">
        <v>97</v>
      </c>
      <c r="B91" s="154"/>
      <c r="C91" s="154"/>
      <c r="D91" s="154"/>
      <c r="E91" s="154"/>
      <c r="F91" s="154"/>
      <c r="G91" s="154"/>
    </row>
    <row r="92" spans="1:7" ht="13" x14ac:dyDescent="0.15">
      <c r="A92" s="43" t="s">
        <v>98</v>
      </c>
      <c r="B92" s="43"/>
      <c r="C92" s="43"/>
      <c r="D92" s="43"/>
    </row>
    <row r="93" spans="1:7" ht="13" x14ac:dyDescent="0.15">
      <c r="A93" s="43" t="s">
        <v>99</v>
      </c>
      <c r="B93" s="43"/>
      <c r="C93" s="43"/>
      <c r="D93" s="43"/>
    </row>
    <row r="94" spans="1:7" ht="13" x14ac:dyDescent="0.15">
      <c r="A94" s="43" t="s">
        <v>100</v>
      </c>
      <c r="B94" s="43"/>
      <c r="C94" s="43"/>
      <c r="D94" s="43"/>
    </row>
    <row r="95" spans="1:7" ht="13" x14ac:dyDescent="0.15">
      <c r="A95" s="127" t="s">
        <v>101</v>
      </c>
      <c r="B95" s="43"/>
      <c r="C95" s="43"/>
      <c r="D95" s="43"/>
    </row>
    <row r="96" spans="1:7" ht="13" x14ac:dyDescent="0.15">
      <c r="A96" s="127" t="s">
        <v>102</v>
      </c>
      <c r="B96" s="43"/>
      <c r="C96" s="43"/>
      <c r="D96" s="43"/>
    </row>
    <row r="97" spans="1:7" ht="13" x14ac:dyDescent="0.15">
      <c r="A97" s="127" t="s">
        <v>103</v>
      </c>
      <c r="B97" s="43"/>
      <c r="C97" s="43"/>
      <c r="D97" s="43"/>
    </row>
    <row r="98" spans="1:7" ht="13" x14ac:dyDescent="0.15">
      <c r="A98" s="127" t="s">
        <v>104</v>
      </c>
      <c r="B98" s="43"/>
      <c r="C98" s="43"/>
      <c r="D98" s="43"/>
    </row>
    <row r="99" spans="1:7" ht="13" x14ac:dyDescent="0.15">
      <c r="A99" s="127" t="s">
        <v>105</v>
      </c>
      <c r="B99" s="43"/>
      <c r="C99" s="43"/>
      <c r="D99" s="43"/>
    </row>
    <row r="100" spans="1:7" ht="13" x14ac:dyDescent="0.15">
      <c r="A100" s="154" t="s">
        <v>106</v>
      </c>
      <c r="B100" s="154"/>
      <c r="C100" s="154"/>
      <c r="D100" s="154"/>
      <c r="E100" s="154"/>
      <c r="F100" s="154"/>
      <c r="G100" s="154"/>
    </row>
    <row r="103" spans="1:7" ht="13" x14ac:dyDescent="0.15">
      <c r="A103" s="41" t="s">
        <v>107</v>
      </c>
      <c r="E103" s="41" t="s">
        <v>108</v>
      </c>
    </row>
    <row r="106" spans="1:7" ht="13" x14ac:dyDescent="0.15">
      <c r="A106" s="42"/>
      <c r="B106" s="42"/>
      <c r="C106" s="42"/>
      <c r="E106" s="42"/>
      <c r="F106" s="42"/>
      <c r="G106" s="42"/>
    </row>
    <row r="107" spans="1:7" ht="13" x14ac:dyDescent="0.15">
      <c r="A107" s="41" t="s">
        <v>109</v>
      </c>
      <c r="E107" s="41" t="s">
        <v>109</v>
      </c>
    </row>
    <row r="108" spans="1:7" ht="13" x14ac:dyDescent="0.15">
      <c r="A108" s="41" t="s">
        <v>110</v>
      </c>
      <c r="E108" s="41" t="s">
        <v>111</v>
      </c>
    </row>
    <row r="111" spans="1:7" ht="13" x14ac:dyDescent="0.15">
      <c r="A111" s="41" t="s">
        <v>112</v>
      </c>
    </row>
    <row r="114" spans="1:3" ht="13" x14ac:dyDescent="0.15">
      <c r="A114" s="42"/>
      <c r="B114" s="42"/>
      <c r="C114" s="42"/>
    </row>
    <row r="115" spans="1:3" ht="13" x14ac:dyDescent="0.15">
      <c r="A115" s="41" t="s">
        <v>109</v>
      </c>
    </row>
    <row r="116" spans="1:3" ht="13" x14ac:dyDescent="0.15">
      <c r="A116" s="41" t="s">
        <v>113</v>
      </c>
    </row>
  </sheetData>
  <mergeCells count="56">
    <mergeCell ref="A56:C56"/>
    <mergeCell ref="B38:C38"/>
    <mergeCell ref="A64:C64"/>
    <mergeCell ref="A46:C46"/>
    <mergeCell ref="A70:C70"/>
    <mergeCell ref="A69:C69"/>
    <mergeCell ref="A68:C68"/>
    <mergeCell ref="A45:C45"/>
    <mergeCell ref="A44:C44"/>
    <mergeCell ref="A54:C54"/>
    <mergeCell ref="A53:C53"/>
    <mergeCell ref="A55:C55"/>
    <mergeCell ref="A76:C76"/>
    <mergeCell ref="A67:C67"/>
    <mergeCell ref="A59:C59"/>
    <mergeCell ref="A58:C58"/>
    <mergeCell ref="A57:C57"/>
    <mergeCell ref="A74:C74"/>
    <mergeCell ref="A73:C73"/>
    <mergeCell ref="A75:C75"/>
    <mergeCell ref="A72:C72"/>
    <mergeCell ref="A66:C66"/>
    <mergeCell ref="A65:C65"/>
    <mergeCell ref="A71:C71"/>
    <mergeCell ref="B1:F1"/>
    <mergeCell ref="A43:C43"/>
    <mergeCell ref="A52:C52"/>
    <mergeCell ref="A51:C51"/>
    <mergeCell ref="A42:C42"/>
    <mergeCell ref="A41:C41"/>
    <mergeCell ref="A40:C40"/>
    <mergeCell ref="A50:C50"/>
    <mergeCell ref="A48:C48"/>
    <mergeCell ref="A47:C47"/>
    <mergeCell ref="A39:C39"/>
    <mergeCell ref="A3:G3"/>
    <mergeCell ref="B2:F2"/>
    <mergeCell ref="A49:C49"/>
    <mergeCell ref="F7:G7"/>
    <mergeCell ref="F6:G6"/>
    <mergeCell ref="A100:G100"/>
    <mergeCell ref="A63:C63"/>
    <mergeCell ref="A62:C62"/>
    <mergeCell ref="A61:C61"/>
    <mergeCell ref="A60:C60"/>
    <mergeCell ref="A91:G91"/>
    <mergeCell ref="A79:C79"/>
    <mergeCell ref="A78:C78"/>
    <mergeCell ref="A77:C77"/>
    <mergeCell ref="A86:C86"/>
    <mergeCell ref="A80:C80"/>
    <mergeCell ref="A81:C81"/>
    <mergeCell ref="A82:C82"/>
    <mergeCell ref="A83:C83"/>
    <mergeCell ref="A84:C84"/>
    <mergeCell ref="A85:C85"/>
  </mergeCells>
  <conditionalFormatting sqref="A40:C47">
    <cfRule type="expression" dxfId="24" priority="1" stopIfTrue="1">
      <formula>VALUE(NoDPSchedule)&lt;VALUE(LEFT(A40,1))</formula>
    </cfRule>
  </conditionalFormatting>
  <conditionalFormatting sqref="A48:C88">
    <cfRule type="expression" dxfId="23" priority="2" stopIfTrue="1">
      <formula>VALUE(NoDPSchedule)&lt;VALUE(LEFT(A48,2))</formula>
    </cfRule>
  </conditionalFormatting>
  <conditionalFormatting sqref="G11 G25">
    <cfRule type="expression" dxfId="22" priority="3" stopIfTrue="1">
      <formula>G11=0</formula>
    </cfRule>
  </conditionalFormatting>
  <conditionalFormatting sqref="B11">
    <cfRule type="expression" dxfId="21" priority="4" stopIfTrue="1">
      <formula>G11=0</formula>
    </cfRule>
  </conditionalFormatting>
  <conditionalFormatting sqref="B25">
    <cfRule type="expression" dxfId="20" priority="5" stopIfTrue="1">
      <formula>G25=0</formula>
    </cfRule>
  </conditionalFormatting>
  <printOptions horizontalCentered="1"/>
  <pageMargins left="0.25" right="0.25" top="0.5" bottom="0.5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J142"/>
  <sheetViews>
    <sheetView topLeftCell="A4" workbookViewId="0">
      <selection activeCell="A36" sqref="A36"/>
    </sheetView>
  </sheetViews>
  <sheetFormatPr baseColWidth="10" defaultColWidth="12.33203125" defaultRowHeight="12.75" customHeight="1" x14ac:dyDescent="0.15"/>
  <cols>
    <col min="1" max="1" width="15.1640625" style="41" customWidth="1"/>
    <col min="2" max="5" width="12.33203125" style="41"/>
    <col min="6" max="6" width="34.1640625" style="41" customWidth="1"/>
    <col min="7" max="7" width="18.83203125" style="41" customWidth="1"/>
    <col min="8" max="8" width="12.33203125" style="41"/>
    <col min="9" max="9" width="13.6640625" style="41" bestFit="1" customWidth="1"/>
    <col min="10" max="16384" width="12.33203125" style="41"/>
  </cols>
  <sheetData>
    <row r="1" spans="1:10" ht="14.25" customHeight="1" thickTop="1" x14ac:dyDescent="0.2">
      <c r="A1" s="83" t="s">
        <v>136</v>
      </c>
      <c r="B1" s="157" t="s">
        <v>0</v>
      </c>
      <c r="C1" s="157"/>
      <c r="D1" s="157"/>
      <c r="E1" s="157"/>
      <c r="F1" s="157"/>
      <c r="G1" s="82"/>
    </row>
    <row r="2" spans="1:10" ht="14.25" customHeight="1" x14ac:dyDescent="0.15">
      <c r="A2" s="81"/>
      <c r="B2" s="158" t="s">
        <v>1</v>
      </c>
      <c r="C2" s="158"/>
      <c r="D2" s="158"/>
      <c r="E2" s="158"/>
      <c r="F2" s="158"/>
      <c r="G2" s="80"/>
    </row>
    <row r="3" spans="1:10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0" ht="13.5" customHeight="1" thickBot="1" x14ac:dyDescent="0.2">
      <c r="A4" s="79">
        <f>IF(A43&lt;=12,12,A43)</f>
        <v>60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ht="13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</row>
    <row r="7" spans="1:10" ht="13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160800</v>
      </c>
      <c r="I11" s="95"/>
    </row>
    <row r="12" spans="1:10" ht="13" x14ac:dyDescent="0.15">
      <c r="A12" s="62">
        <v>0</v>
      </c>
      <c r="B12" s="48" t="s">
        <v>140</v>
      </c>
      <c r="F12" s="72"/>
      <c r="G12" s="45">
        <f>(SellingPrice-G11)*2%</f>
        <v>26800</v>
      </c>
      <c r="I12" s="45"/>
      <c r="J12" s="45"/>
    </row>
    <row r="13" spans="1:10" ht="13" hidden="1" x14ac:dyDescent="0.15">
      <c r="B13" s="41" t="s">
        <v>14</v>
      </c>
      <c r="D13" s="38"/>
      <c r="G13" s="45"/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141</v>
      </c>
      <c r="E16"/>
      <c r="F16"/>
      <c r="G16" s="45">
        <v>80000</v>
      </c>
      <c r="I16" s="45"/>
    </row>
    <row r="17" spans="1:10" ht="13" hidden="1" x14ac:dyDescent="0.15">
      <c r="B17" s="41" t="s">
        <v>19</v>
      </c>
      <c r="D17" s="38"/>
      <c r="G17" s="45"/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hidden="1" x14ac:dyDescent="0.15">
      <c r="B20" s="41" t="s">
        <v>22</v>
      </c>
      <c r="G20" s="45">
        <v>0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138</v>
      </c>
      <c r="B24" s="70"/>
      <c r="C24" s="67"/>
      <c r="D24" s="67"/>
      <c r="E24" s="67"/>
      <c r="F24" s="65" t="s">
        <v>11</v>
      </c>
      <c r="G24" s="64">
        <f>(SellingPrice-G11)-SUM(G12:G22)</f>
        <v>1233200</v>
      </c>
      <c r="I24" s="45"/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147984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86324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86324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1467508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44075.451322222223</v>
      </c>
      <c r="G31" s="18">
        <v>20000</v>
      </c>
    </row>
    <row r="32" spans="1:10" ht="13.5" customHeight="1" thickTop="1" x14ac:dyDescent="0.15">
      <c r="A32" s="68" t="s">
        <v>142</v>
      </c>
      <c r="B32" s="67"/>
      <c r="C32" s="67"/>
      <c r="D32" s="67"/>
      <c r="E32" s="66"/>
      <c r="F32" s="65" t="s">
        <v>11</v>
      </c>
      <c r="G32" s="64">
        <f>G30-G31</f>
        <v>1447508</v>
      </c>
    </row>
    <row r="33" spans="1:10" ht="13" x14ac:dyDescent="0.15">
      <c r="A33" s="69">
        <v>100</v>
      </c>
    </row>
    <row r="34" spans="1:10" ht="13" x14ac:dyDescent="0.15">
      <c r="A34" s="48" t="s">
        <v>31</v>
      </c>
    </row>
    <row r="35" spans="1:10" ht="13.5" customHeight="1" thickBot="1" x14ac:dyDescent="0.2">
      <c r="A35" s="62">
        <v>20</v>
      </c>
      <c r="B35" s="41" t="str">
        <f>CONCATENATE("Spot Downpayment (" &amp;A35&amp;"% of Selling Price)")</f>
        <v>Spot Downpayment (20% of Selling Price)</v>
      </c>
      <c r="E35" s="51"/>
      <c r="F35" s="50"/>
      <c r="G35" s="45">
        <f>ROUND((SUM(G24:G25)*(A35/100))-(G31),2)</f>
        <v>256236.79999999999</v>
      </c>
      <c r="H35" s="45"/>
      <c r="I35" s="45"/>
      <c r="J35" s="63"/>
    </row>
    <row r="36" spans="1:10" ht="13.5" customHeight="1" thickTop="1" x14ac:dyDescent="0.15">
      <c r="B36" s="44" t="s">
        <v>143</v>
      </c>
      <c r="E36" s="51"/>
      <c r="F36" s="99">
        <v>43763</v>
      </c>
      <c r="G36" s="61">
        <f>SUM(G35:G35)</f>
        <v>256236.79999999999</v>
      </c>
    </row>
    <row r="37" spans="1:10" ht="13" x14ac:dyDescent="0.15">
      <c r="B37" s="44"/>
      <c r="E37" s="51"/>
      <c r="F37" s="50"/>
      <c r="G37" s="85"/>
    </row>
    <row r="38" spans="1:10" ht="13" x14ac:dyDescent="0.15">
      <c r="A38" s="48" t="s">
        <v>144</v>
      </c>
      <c r="B38" s="52"/>
      <c r="E38" s="51"/>
      <c r="F38" s="50"/>
      <c r="G38" s="49"/>
    </row>
    <row r="39" spans="1:10" ht="13" x14ac:dyDescent="0.15">
      <c r="A39" s="62">
        <f>A33-A35</f>
        <v>80</v>
      </c>
      <c r="B39" s="60" t="str">
        <f>CONCATENATE("Balance Remaining (" &amp; A39 &amp;"% of Selling Price)")</f>
        <v>Balance Remaining (80% of Selling Price)</v>
      </c>
      <c r="E39" s="51"/>
      <c r="F39" s="50"/>
      <c r="G39" s="45">
        <f>(SUM(G24:G25)-G35)-G31</f>
        <v>1104947.2</v>
      </c>
      <c r="I39" s="45"/>
    </row>
    <row r="40" spans="1:10" ht="13.5" customHeight="1" thickBot="1" x14ac:dyDescent="0.2">
      <c r="B40" s="60" t="str">
        <f>IF(LumpOCDate&lt;&gt;"","Other Charges is payable on or before","Other Charges")</f>
        <v>Other Charges</v>
      </c>
      <c r="E40" s="51"/>
      <c r="F40" s="50"/>
      <c r="G40" s="45">
        <f>G29</f>
        <v>86324</v>
      </c>
    </row>
    <row r="41" spans="1:10" ht="13.5" customHeight="1" thickTop="1" x14ac:dyDescent="0.15">
      <c r="B41" s="44" t="str">
        <f>CONCATENATE("Remaining Balance and OC due and payable in " &amp; A43 &amp; " months at 0 intrest")</f>
        <v>Remaining Balance and OC due and payable in 60 months at 0 intrest</v>
      </c>
      <c r="E41" s="51"/>
      <c r="F41" s="50"/>
      <c r="G41" s="61">
        <f>SUM(G39:G40)</f>
        <v>1191271.2</v>
      </c>
    </row>
    <row r="42" spans="1:10" ht="13" x14ac:dyDescent="0.15">
      <c r="B42" s="60"/>
      <c r="E42" s="51"/>
      <c r="F42" s="50"/>
      <c r="G42" s="49"/>
    </row>
    <row r="43" spans="1:10" ht="25.5" customHeight="1" x14ac:dyDescent="0.15">
      <c r="A43" s="59">
        <v>60</v>
      </c>
      <c r="B43" s="156" t="s">
        <v>36</v>
      </c>
      <c r="C43" s="156"/>
      <c r="D43" s="129" t="s">
        <v>37</v>
      </c>
      <c r="E43" s="58" t="s">
        <v>38</v>
      </c>
      <c r="F43" s="57" t="s">
        <v>27</v>
      </c>
      <c r="G43" s="56" t="s">
        <v>39</v>
      </c>
    </row>
    <row r="44" spans="1:10" ht="13" x14ac:dyDescent="0.15">
      <c r="A44" s="155" t="s">
        <v>40</v>
      </c>
      <c r="B44" s="155"/>
      <c r="C44" s="155"/>
      <c r="D44" s="31">
        <v>43801</v>
      </c>
      <c r="E44" s="54">
        <f>ROUND(G39/A43,2)</f>
        <v>18415.79</v>
      </c>
      <c r="F44" s="53">
        <f>ROUND(IF(LumpOCDate&lt;&gt;"",IF(D44=LumpOCDate,$G$40,0),$G$40/NoDPSchedule),2)</f>
        <v>1438.73</v>
      </c>
      <c r="G44" s="45">
        <f>SUM(E44:F44)</f>
        <v>19854.52</v>
      </c>
    </row>
    <row r="45" spans="1:10" ht="13" x14ac:dyDescent="0.15">
      <c r="A45" s="155" t="s">
        <v>41</v>
      </c>
      <c r="B45" s="155"/>
      <c r="C45" s="155"/>
      <c r="D45" s="31">
        <v>43832</v>
      </c>
      <c r="E45" s="54">
        <f t="shared" ref="E45:E52" si="0">IF($A$43&lt;VALUE(LEFT(A45,1))," ",IF($A$43=VALUE(LEFT(A45,1)),$G$39-($E$44*($A$43-1)),E44))</f>
        <v>18415.79</v>
      </c>
      <c r="F45" s="53">
        <f t="shared" ref="F45:F52" si="1">IF($A$43&lt;VALUE(LEFT(A45,1))," ",IF($A$43=VALUE(LEFT(A45,1)),$G$40-($F$44*($A$43-1)),F44))</f>
        <v>1438.73</v>
      </c>
      <c r="G45" s="45">
        <f t="shared" ref="G45:G52" si="2">IF(NoDPSchedule&lt;VALUE(LEFT(A45,1))," ",SUM(E45:F45))</f>
        <v>19854.52</v>
      </c>
    </row>
    <row r="46" spans="1:10" ht="13" x14ac:dyDescent="0.15">
      <c r="A46" s="155" t="s">
        <v>42</v>
      </c>
      <c r="B46" s="155"/>
      <c r="C46" s="155"/>
      <c r="D46" s="31">
        <v>43863</v>
      </c>
      <c r="E46" s="54">
        <f t="shared" si="0"/>
        <v>18415.79</v>
      </c>
      <c r="F46" s="53">
        <f t="shared" si="1"/>
        <v>1438.73</v>
      </c>
      <c r="G46" s="45">
        <f t="shared" si="2"/>
        <v>19854.52</v>
      </c>
    </row>
    <row r="47" spans="1:10" ht="13" x14ac:dyDescent="0.15">
      <c r="A47" s="155" t="s">
        <v>43</v>
      </c>
      <c r="B47" s="155"/>
      <c r="C47" s="155"/>
      <c r="D47" s="31">
        <v>43892</v>
      </c>
      <c r="E47" s="54">
        <f t="shared" si="0"/>
        <v>18415.79</v>
      </c>
      <c r="F47" s="53">
        <f t="shared" si="1"/>
        <v>1438.73</v>
      </c>
      <c r="G47" s="45">
        <f t="shared" si="2"/>
        <v>19854.52</v>
      </c>
    </row>
    <row r="48" spans="1:10" ht="13" x14ac:dyDescent="0.15">
      <c r="A48" s="155" t="s">
        <v>44</v>
      </c>
      <c r="B48" s="155"/>
      <c r="C48" s="155"/>
      <c r="D48" s="31">
        <v>43923</v>
      </c>
      <c r="E48" s="54">
        <f t="shared" si="0"/>
        <v>18415.79</v>
      </c>
      <c r="F48" s="53">
        <f t="shared" si="1"/>
        <v>1438.73</v>
      </c>
      <c r="G48" s="45">
        <f t="shared" si="2"/>
        <v>19854.52</v>
      </c>
    </row>
    <row r="49" spans="1:7" ht="13" x14ac:dyDescent="0.15">
      <c r="A49" s="155" t="s">
        <v>45</v>
      </c>
      <c r="B49" s="155"/>
      <c r="C49" s="155"/>
      <c r="D49" s="31">
        <v>43953</v>
      </c>
      <c r="E49" s="54">
        <f t="shared" si="0"/>
        <v>18415.79</v>
      </c>
      <c r="F49" s="53">
        <f t="shared" si="1"/>
        <v>1438.73</v>
      </c>
      <c r="G49" s="45">
        <f t="shared" si="2"/>
        <v>19854.52</v>
      </c>
    </row>
    <row r="50" spans="1:7" ht="13" x14ac:dyDescent="0.15">
      <c r="A50" s="155" t="s">
        <v>46</v>
      </c>
      <c r="B50" s="155"/>
      <c r="C50" s="155"/>
      <c r="D50" s="31">
        <v>43984</v>
      </c>
      <c r="E50" s="54">
        <f t="shared" si="0"/>
        <v>18415.79</v>
      </c>
      <c r="F50" s="53">
        <f t="shared" si="1"/>
        <v>1438.73</v>
      </c>
      <c r="G50" s="45">
        <f t="shared" si="2"/>
        <v>19854.52</v>
      </c>
    </row>
    <row r="51" spans="1:7" ht="13" x14ac:dyDescent="0.15">
      <c r="A51" s="155" t="s">
        <v>47</v>
      </c>
      <c r="B51" s="155"/>
      <c r="C51" s="155"/>
      <c r="D51" s="31">
        <v>44014</v>
      </c>
      <c r="E51" s="54">
        <f t="shared" si="0"/>
        <v>18415.79</v>
      </c>
      <c r="F51" s="53">
        <f t="shared" si="1"/>
        <v>1438.73</v>
      </c>
      <c r="G51" s="45">
        <f t="shared" si="2"/>
        <v>19854.52</v>
      </c>
    </row>
    <row r="52" spans="1:7" ht="13" x14ac:dyDescent="0.15">
      <c r="A52" s="155" t="s">
        <v>48</v>
      </c>
      <c r="B52" s="155"/>
      <c r="C52" s="155"/>
      <c r="D52" s="31">
        <v>44045</v>
      </c>
      <c r="E52" s="54">
        <f t="shared" si="0"/>
        <v>18415.79</v>
      </c>
      <c r="F52" s="53">
        <f t="shared" si="1"/>
        <v>1438.73</v>
      </c>
      <c r="G52" s="45">
        <f t="shared" si="2"/>
        <v>19854.52</v>
      </c>
    </row>
    <row r="53" spans="1:7" ht="13" x14ac:dyDescent="0.15">
      <c r="A53" s="155" t="s">
        <v>49</v>
      </c>
      <c r="B53" s="155"/>
      <c r="C53" s="155"/>
      <c r="D53" s="31">
        <v>44076</v>
      </c>
      <c r="E53" s="54">
        <f t="shared" ref="E53:E103" si="3">IF($A$43&lt;VALUE(LEFT(A53,2))," ",IF($A$43=VALUE(LEFT(A53,2)),$G$39-($E$44*($A$43-1)),E52))</f>
        <v>18415.79</v>
      </c>
      <c r="F53" s="53">
        <f t="shared" ref="F53:F103" si="4">IF($A$43&lt;VALUE(LEFT(A53,2))," ",IF($A$43=VALUE(LEFT(A53,2)),$G$40-($F$44*($A$43-1)),F52))</f>
        <v>1438.73</v>
      </c>
      <c r="G53" s="45">
        <f t="shared" ref="G53:G85" si="5">IF(NoDPSchedule&lt;VALUE(LEFT(A53,2))," ",SUM(E53:F53))</f>
        <v>19854.52</v>
      </c>
    </row>
    <row r="54" spans="1:7" ht="13" x14ac:dyDescent="0.15">
      <c r="A54" s="155" t="s">
        <v>50</v>
      </c>
      <c r="B54" s="155"/>
      <c r="C54" s="155"/>
      <c r="D54" s="31">
        <v>44106</v>
      </c>
      <c r="E54" s="54">
        <f t="shared" si="3"/>
        <v>18415.79</v>
      </c>
      <c r="F54" s="53">
        <f t="shared" si="4"/>
        <v>1438.73</v>
      </c>
      <c r="G54" s="45">
        <f t="shared" si="5"/>
        <v>19854.52</v>
      </c>
    </row>
    <row r="55" spans="1:7" ht="13" x14ac:dyDescent="0.15">
      <c r="A55" s="155" t="s">
        <v>51</v>
      </c>
      <c r="B55" s="155"/>
      <c r="C55" s="155"/>
      <c r="D55" s="31">
        <v>44137</v>
      </c>
      <c r="E55" s="54">
        <f t="shared" si="3"/>
        <v>18415.79</v>
      </c>
      <c r="F55" s="53">
        <f t="shared" si="4"/>
        <v>1438.73</v>
      </c>
      <c r="G55" s="45">
        <f t="shared" si="5"/>
        <v>19854.52</v>
      </c>
    </row>
    <row r="56" spans="1:7" ht="13" x14ac:dyDescent="0.15">
      <c r="A56" s="155" t="s">
        <v>52</v>
      </c>
      <c r="B56" s="155"/>
      <c r="C56" s="155"/>
      <c r="D56" s="31">
        <v>44167</v>
      </c>
      <c r="E56" s="54">
        <f t="shared" si="3"/>
        <v>18415.79</v>
      </c>
      <c r="F56" s="53">
        <f t="shared" si="4"/>
        <v>1438.73</v>
      </c>
      <c r="G56" s="45">
        <f t="shared" si="5"/>
        <v>19854.52</v>
      </c>
    </row>
    <row r="57" spans="1:7" ht="13" x14ac:dyDescent="0.15">
      <c r="A57" s="155" t="s">
        <v>53</v>
      </c>
      <c r="B57" s="155"/>
      <c r="C57" s="155"/>
      <c r="D57" s="31">
        <v>44198</v>
      </c>
      <c r="E57" s="54">
        <f t="shared" si="3"/>
        <v>18415.79</v>
      </c>
      <c r="F57" s="53">
        <f t="shared" si="4"/>
        <v>1438.73</v>
      </c>
      <c r="G57" s="45">
        <f t="shared" si="5"/>
        <v>19854.52</v>
      </c>
    </row>
    <row r="58" spans="1:7" ht="13" x14ac:dyDescent="0.15">
      <c r="A58" s="155" t="s">
        <v>54</v>
      </c>
      <c r="B58" s="155"/>
      <c r="C58" s="155"/>
      <c r="D58" s="31">
        <v>44229</v>
      </c>
      <c r="E58" s="54">
        <f t="shared" si="3"/>
        <v>18415.79</v>
      </c>
      <c r="F58" s="53">
        <f t="shared" si="4"/>
        <v>1438.73</v>
      </c>
      <c r="G58" s="45">
        <f t="shared" si="5"/>
        <v>19854.52</v>
      </c>
    </row>
    <row r="59" spans="1:7" ht="13" x14ac:dyDescent="0.15">
      <c r="A59" s="155" t="s">
        <v>55</v>
      </c>
      <c r="B59" s="155"/>
      <c r="C59" s="155"/>
      <c r="D59" s="31">
        <v>44257</v>
      </c>
      <c r="E59" s="54">
        <f t="shared" si="3"/>
        <v>18415.79</v>
      </c>
      <c r="F59" s="53">
        <f t="shared" si="4"/>
        <v>1438.73</v>
      </c>
      <c r="G59" s="45">
        <f t="shared" si="5"/>
        <v>19854.52</v>
      </c>
    </row>
    <row r="60" spans="1:7" ht="13" x14ac:dyDescent="0.15">
      <c r="A60" s="155" t="s">
        <v>56</v>
      </c>
      <c r="B60" s="155"/>
      <c r="C60" s="155"/>
      <c r="D60" s="31">
        <v>44288</v>
      </c>
      <c r="E60" s="54">
        <f t="shared" si="3"/>
        <v>18415.79</v>
      </c>
      <c r="F60" s="53">
        <f t="shared" si="4"/>
        <v>1438.73</v>
      </c>
      <c r="G60" s="45">
        <f t="shared" si="5"/>
        <v>19854.52</v>
      </c>
    </row>
    <row r="61" spans="1:7" ht="13" x14ac:dyDescent="0.15">
      <c r="A61" s="155" t="s">
        <v>57</v>
      </c>
      <c r="B61" s="155"/>
      <c r="C61" s="155"/>
      <c r="D61" s="31">
        <v>44318</v>
      </c>
      <c r="E61" s="54">
        <f t="shared" si="3"/>
        <v>18415.79</v>
      </c>
      <c r="F61" s="53">
        <f t="shared" si="4"/>
        <v>1438.73</v>
      </c>
      <c r="G61" s="45">
        <f t="shared" si="5"/>
        <v>19854.52</v>
      </c>
    </row>
    <row r="62" spans="1:7" ht="13" x14ac:dyDescent="0.15">
      <c r="A62" s="155" t="s">
        <v>58</v>
      </c>
      <c r="B62" s="155"/>
      <c r="C62" s="155"/>
      <c r="D62" s="31">
        <v>44349</v>
      </c>
      <c r="E62" s="54">
        <f t="shared" si="3"/>
        <v>18415.79</v>
      </c>
      <c r="F62" s="53">
        <f t="shared" si="4"/>
        <v>1438.73</v>
      </c>
      <c r="G62" s="45">
        <f t="shared" si="5"/>
        <v>19854.52</v>
      </c>
    </row>
    <row r="63" spans="1:7" ht="13" x14ac:dyDescent="0.15">
      <c r="A63" s="155" t="s">
        <v>59</v>
      </c>
      <c r="B63" s="155"/>
      <c r="C63" s="155"/>
      <c r="D63" s="31">
        <v>44379</v>
      </c>
      <c r="E63" s="54">
        <f t="shared" si="3"/>
        <v>18415.79</v>
      </c>
      <c r="F63" s="53">
        <f t="shared" si="4"/>
        <v>1438.73</v>
      </c>
      <c r="G63" s="45">
        <f t="shared" si="5"/>
        <v>19854.52</v>
      </c>
    </row>
    <row r="64" spans="1:7" ht="13" x14ac:dyDescent="0.15">
      <c r="A64" s="155" t="s">
        <v>60</v>
      </c>
      <c r="B64" s="155"/>
      <c r="C64" s="155"/>
      <c r="D64" s="31">
        <v>44410</v>
      </c>
      <c r="E64" s="54">
        <f t="shared" si="3"/>
        <v>18415.79</v>
      </c>
      <c r="F64" s="53">
        <f t="shared" si="4"/>
        <v>1438.73</v>
      </c>
      <c r="G64" s="45">
        <f t="shared" si="5"/>
        <v>19854.52</v>
      </c>
    </row>
    <row r="65" spans="1:7" ht="13" x14ac:dyDescent="0.15">
      <c r="A65" s="155" t="s">
        <v>61</v>
      </c>
      <c r="B65" s="155"/>
      <c r="C65" s="155"/>
      <c r="D65" s="31">
        <v>44441</v>
      </c>
      <c r="E65" s="54">
        <f t="shared" si="3"/>
        <v>18415.79</v>
      </c>
      <c r="F65" s="53">
        <f t="shared" si="4"/>
        <v>1438.73</v>
      </c>
      <c r="G65" s="45">
        <f t="shared" si="5"/>
        <v>19854.52</v>
      </c>
    </row>
    <row r="66" spans="1:7" ht="13" x14ac:dyDescent="0.15">
      <c r="A66" s="155" t="s">
        <v>62</v>
      </c>
      <c r="B66" s="155"/>
      <c r="C66" s="155"/>
      <c r="D66" s="31">
        <v>44471</v>
      </c>
      <c r="E66" s="54">
        <f t="shared" si="3"/>
        <v>18415.79</v>
      </c>
      <c r="F66" s="53">
        <f t="shared" si="4"/>
        <v>1438.73</v>
      </c>
      <c r="G66" s="45">
        <f t="shared" si="5"/>
        <v>19854.52</v>
      </c>
    </row>
    <row r="67" spans="1:7" ht="13" x14ac:dyDescent="0.15">
      <c r="A67" s="155" t="s">
        <v>63</v>
      </c>
      <c r="B67" s="155"/>
      <c r="C67" s="155"/>
      <c r="D67" s="31">
        <v>44502</v>
      </c>
      <c r="E67" s="54">
        <f t="shared" si="3"/>
        <v>18415.79</v>
      </c>
      <c r="F67" s="53">
        <f t="shared" si="4"/>
        <v>1438.73</v>
      </c>
      <c r="G67" s="45">
        <f t="shared" si="5"/>
        <v>19854.52</v>
      </c>
    </row>
    <row r="68" spans="1:7" ht="13" x14ac:dyDescent="0.15">
      <c r="A68" s="155" t="s">
        <v>64</v>
      </c>
      <c r="B68" s="155"/>
      <c r="C68" s="155"/>
      <c r="D68" s="31">
        <v>44532</v>
      </c>
      <c r="E68" s="54">
        <f t="shared" si="3"/>
        <v>18415.79</v>
      </c>
      <c r="F68" s="53">
        <f t="shared" si="4"/>
        <v>1438.73</v>
      </c>
      <c r="G68" s="45">
        <f t="shared" si="5"/>
        <v>19854.52</v>
      </c>
    </row>
    <row r="69" spans="1:7" ht="13" x14ac:dyDescent="0.15">
      <c r="A69" s="155" t="s">
        <v>65</v>
      </c>
      <c r="B69" s="155"/>
      <c r="C69" s="155"/>
      <c r="D69" s="31">
        <v>44563</v>
      </c>
      <c r="E69" s="54">
        <f t="shared" si="3"/>
        <v>18415.79</v>
      </c>
      <c r="F69" s="53">
        <f t="shared" si="4"/>
        <v>1438.73</v>
      </c>
      <c r="G69" s="45">
        <f t="shared" si="5"/>
        <v>19854.52</v>
      </c>
    </row>
    <row r="70" spans="1:7" ht="13" x14ac:dyDescent="0.15">
      <c r="A70" s="155" t="s">
        <v>66</v>
      </c>
      <c r="B70" s="155"/>
      <c r="C70" s="155"/>
      <c r="D70" s="31">
        <v>44594</v>
      </c>
      <c r="E70" s="54">
        <f t="shared" si="3"/>
        <v>18415.79</v>
      </c>
      <c r="F70" s="53">
        <f t="shared" si="4"/>
        <v>1438.73</v>
      </c>
      <c r="G70" s="45">
        <f t="shared" si="5"/>
        <v>19854.52</v>
      </c>
    </row>
    <row r="71" spans="1:7" ht="13" x14ac:dyDescent="0.15">
      <c r="A71" s="155" t="s">
        <v>67</v>
      </c>
      <c r="B71" s="155"/>
      <c r="C71" s="155"/>
      <c r="D71" s="31">
        <v>44622</v>
      </c>
      <c r="E71" s="54">
        <f t="shared" si="3"/>
        <v>18415.79</v>
      </c>
      <c r="F71" s="53">
        <f t="shared" si="4"/>
        <v>1438.73</v>
      </c>
      <c r="G71" s="45">
        <f t="shared" si="5"/>
        <v>19854.52</v>
      </c>
    </row>
    <row r="72" spans="1:7" ht="13" x14ac:dyDescent="0.15">
      <c r="A72" s="155" t="s">
        <v>68</v>
      </c>
      <c r="B72" s="155"/>
      <c r="C72" s="155"/>
      <c r="D72" s="31">
        <v>44653</v>
      </c>
      <c r="E72" s="54">
        <f t="shared" si="3"/>
        <v>18415.79</v>
      </c>
      <c r="F72" s="53">
        <f t="shared" si="4"/>
        <v>1438.73</v>
      </c>
      <c r="G72" s="45">
        <f t="shared" si="5"/>
        <v>19854.52</v>
      </c>
    </row>
    <row r="73" spans="1:7" ht="13" x14ac:dyDescent="0.15">
      <c r="A73" s="155" t="s">
        <v>69</v>
      </c>
      <c r="B73" s="155"/>
      <c r="C73" s="155"/>
      <c r="D73" s="31">
        <v>44683</v>
      </c>
      <c r="E73" s="54">
        <f t="shared" si="3"/>
        <v>18415.79</v>
      </c>
      <c r="F73" s="53">
        <f t="shared" si="4"/>
        <v>1438.73</v>
      </c>
      <c r="G73" s="45">
        <f t="shared" si="5"/>
        <v>19854.52</v>
      </c>
    </row>
    <row r="74" spans="1:7" ht="13" x14ac:dyDescent="0.15">
      <c r="A74" s="155" t="s">
        <v>70</v>
      </c>
      <c r="B74" s="155"/>
      <c r="C74" s="155"/>
      <c r="D74" s="31">
        <v>44714</v>
      </c>
      <c r="E74" s="54">
        <f t="shared" si="3"/>
        <v>18415.79</v>
      </c>
      <c r="F74" s="53">
        <f t="shared" si="4"/>
        <v>1438.73</v>
      </c>
      <c r="G74" s="45">
        <f t="shared" si="5"/>
        <v>19854.52</v>
      </c>
    </row>
    <row r="75" spans="1:7" ht="13" x14ac:dyDescent="0.15">
      <c r="A75" s="155" t="s">
        <v>71</v>
      </c>
      <c r="B75" s="155"/>
      <c r="C75" s="155"/>
      <c r="D75" s="31">
        <v>44744</v>
      </c>
      <c r="E75" s="54">
        <f t="shared" si="3"/>
        <v>18415.79</v>
      </c>
      <c r="F75" s="53">
        <f t="shared" si="4"/>
        <v>1438.73</v>
      </c>
      <c r="G75" s="45">
        <f t="shared" si="5"/>
        <v>19854.52</v>
      </c>
    </row>
    <row r="76" spans="1:7" ht="13" x14ac:dyDescent="0.15">
      <c r="A76" s="155" t="s">
        <v>72</v>
      </c>
      <c r="B76" s="155"/>
      <c r="C76" s="155"/>
      <c r="D76" s="31">
        <v>44775</v>
      </c>
      <c r="E76" s="54">
        <f t="shared" si="3"/>
        <v>18415.79</v>
      </c>
      <c r="F76" s="53">
        <f t="shared" si="4"/>
        <v>1438.73</v>
      </c>
      <c r="G76" s="45">
        <f t="shared" si="5"/>
        <v>19854.52</v>
      </c>
    </row>
    <row r="77" spans="1:7" ht="13" x14ac:dyDescent="0.15">
      <c r="A77" s="155" t="s">
        <v>73</v>
      </c>
      <c r="B77" s="155"/>
      <c r="C77" s="155"/>
      <c r="D77" s="31">
        <v>44806</v>
      </c>
      <c r="E77" s="54">
        <f t="shared" si="3"/>
        <v>18415.79</v>
      </c>
      <c r="F77" s="53">
        <f t="shared" si="4"/>
        <v>1438.73</v>
      </c>
      <c r="G77" s="45">
        <f t="shared" si="5"/>
        <v>19854.52</v>
      </c>
    </row>
    <row r="78" spans="1:7" ht="13" x14ac:dyDescent="0.15">
      <c r="A78" s="155" t="s">
        <v>74</v>
      </c>
      <c r="B78" s="155"/>
      <c r="C78" s="155"/>
      <c r="D78" s="31">
        <v>44836</v>
      </c>
      <c r="E78" s="54">
        <f t="shared" si="3"/>
        <v>18415.79</v>
      </c>
      <c r="F78" s="53">
        <f t="shared" si="4"/>
        <v>1438.73</v>
      </c>
      <c r="G78" s="45">
        <f t="shared" si="5"/>
        <v>19854.52</v>
      </c>
    </row>
    <row r="79" spans="1:7" ht="13" x14ac:dyDescent="0.15">
      <c r="A79" s="155" t="s">
        <v>75</v>
      </c>
      <c r="B79" s="155"/>
      <c r="C79" s="155"/>
      <c r="D79" s="31">
        <v>44867</v>
      </c>
      <c r="E79" s="54">
        <f t="shared" si="3"/>
        <v>18415.79</v>
      </c>
      <c r="F79" s="53">
        <f t="shared" si="4"/>
        <v>1438.73</v>
      </c>
      <c r="G79" s="45">
        <f t="shared" si="5"/>
        <v>19854.52</v>
      </c>
    </row>
    <row r="80" spans="1:7" ht="13" x14ac:dyDescent="0.15">
      <c r="A80" s="155" t="s">
        <v>76</v>
      </c>
      <c r="B80" s="155"/>
      <c r="C80" s="155"/>
      <c r="D80" s="31">
        <v>44897</v>
      </c>
      <c r="E80" s="54">
        <f t="shared" si="3"/>
        <v>18415.79</v>
      </c>
      <c r="F80" s="53">
        <f t="shared" si="4"/>
        <v>1438.73</v>
      </c>
      <c r="G80" s="45">
        <f t="shared" si="5"/>
        <v>19854.52</v>
      </c>
    </row>
    <row r="81" spans="1:7" ht="13" x14ac:dyDescent="0.15">
      <c r="A81" s="155" t="s">
        <v>77</v>
      </c>
      <c r="B81" s="155"/>
      <c r="C81" s="155"/>
      <c r="D81" s="31">
        <v>44928</v>
      </c>
      <c r="E81" s="54">
        <f t="shared" si="3"/>
        <v>18415.79</v>
      </c>
      <c r="F81" s="53">
        <f t="shared" si="4"/>
        <v>1438.73</v>
      </c>
      <c r="G81" s="45">
        <f t="shared" si="5"/>
        <v>19854.52</v>
      </c>
    </row>
    <row r="82" spans="1:7" ht="13" x14ac:dyDescent="0.15">
      <c r="A82" s="155" t="s">
        <v>78</v>
      </c>
      <c r="B82" s="155"/>
      <c r="C82" s="155"/>
      <c r="D82" s="31">
        <v>44959</v>
      </c>
      <c r="E82" s="54">
        <f t="shared" si="3"/>
        <v>18415.79</v>
      </c>
      <c r="F82" s="53">
        <f t="shared" si="4"/>
        <v>1438.73</v>
      </c>
      <c r="G82" s="45">
        <f t="shared" si="5"/>
        <v>19854.52</v>
      </c>
    </row>
    <row r="83" spans="1:7" ht="13" x14ac:dyDescent="0.15">
      <c r="A83" s="155" t="s">
        <v>79</v>
      </c>
      <c r="B83" s="155"/>
      <c r="C83" s="155"/>
      <c r="D83" s="31">
        <v>44987</v>
      </c>
      <c r="E83" s="54">
        <f t="shared" si="3"/>
        <v>18415.79</v>
      </c>
      <c r="F83" s="53">
        <f t="shared" si="4"/>
        <v>1438.73</v>
      </c>
      <c r="G83" s="45">
        <f t="shared" si="5"/>
        <v>19854.52</v>
      </c>
    </row>
    <row r="84" spans="1:7" ht="13" x14ac:dyDescent="0.15">
      <c r="A84" s="155" t="s">
        <v>80</v>
      </c>
      <c r="B84" s="155"/>
      <c r="C84" s="155"/>
      <c r="D84" s="31">
        <v>45018</v>
      </c>
      <c r="E84" s="54">
        <f t="shared" si="3"/>
        <v>18415.79</v>
      </c>
      <c r="F84" s="53">
        <f t="shared" si="4"/>
        <v>1438.73</v>
      </c>
      <c r="G84" s="45">
        <f t="shared" si="5"/>
        <v>19854.52</v>
      </c>
    </row>
    <row r="85" spans="1:7" ht="13" x14ac:dyDescent="0.15">
      <c r="A85" s="155" t="s">
        <v>81</v>
      </c>
      <c r="B85" s="155"/>
      <c r="C85" s="155"/>
      <c r="D85" s="31">
        <v>45048</v>
      </c>
      <c r="E85" s="54">
        <f t="shared" si="3"/>
        <v>18415.79</v>
      </c>
      <c r="F85" s="53">
        <f t="shared" si="4"/>
        <v>1438.73</v>
      </c>
      <c r="G85" s="45">
        <f t="shared" si="5"/>
        <v>19854.52</v>
      </c>
    </row>
    <row r="86" spans="1:7" ht="13" x14ac:dyDescent="0.15">
      <c r="A86" s="155" t="s">
        <v>82</v>
      </c>
      <c r="B86" s="155"/>
      <c r="C86" s="155"/>
      <c r="D86" s="31">
        <v>45079</v>
      </c>
      <c r="E86" s="54">
        <f t="shared" si="3"/>
        <v>18415.79</v>
      </c>
      <c r="F86" s="53">
        <f t="shared" si="4"/>
        <v>1438.73</v>
      </c>
      <c r="G86" s="45">
        <f t="shared" ref="G86:G91" si="6">IF(NoDPSchedule&lt;VALUE(LEFT(A86,2))," ",SUM(E86:F86))</f>
        <v>19854.52</v>
      </c>
    </row>
    <row r="87" spans="1:7" ht="13" x14ac:dyDescent="0.15">
      <c r="A87" s="155" t="s">
        <v>83</v>
      </c>
      <c r="B87" s="155"/>
      <c r="C87" s="155"/>
      <c r="D87" s="31">
        <v>45109</v>
      </c>
      <c r="E87" s="54">
        <f t="shared" si="3"/>
        <v>18415.79</v>
      </c>
      <c r="F87" s="53">
        <f t="shared" si="4"/>
        <v>1438.73</v>
      </c>
      <c r="G87" s="45">
        <f t="shared" si="6"/>
        <v>19854.52</v>
      </c>
    </row>
    <row r="88" spans="1:7" ht="13" x14ac:dyDescent="0.15">
      <c r="A88" s="155" t="s">
        <v>84</v>
      </c>
      <c r="B88" s="155"/>
      <c r="C88" s="155"/>
      <c r="D88" s="31">
        <v>45140</v>
      </c>
      <c r="E88" s="54">
        <f t="shared" si="3"/>
        <v>18415.79</v>
      </c>
      <c r="F88" s="53">
        <f t="shared" si="4"/>
        <v>1438.73</v>
      </c>
      <c r="G88" s="45">
        <f t="shared" si="6"/>
        <v>19854.52</v>
      </c>
    </row>
    <row r="89" spans="1:7" ht="13" x14ac:dyDescent="0.15">
      <c r="A89" s="155" t="s">
        <v>85</v>
      </c>
      <c r="B89" s="155"/>
      <c r="C89" s="155"/>
      <c r="D89" s="31">
        <v>45171</v>
      </c>
      <c r="E89" s="54">
        <f t="shared" si="3"/>
        <v>18415.79</v>
      </c>
      <c r="F89" s="53">
        <f t="shared" si="4"/>
        <v>1438.73</v>
      </c>
      <c r="G89" s="45">
        <f t="shared" si="6"/>
        <v>19854.52</v>
      </c>
    </row>
    <row r="90" spans="1:7" ht="13" x14ac:dyDescent="0.15">
      <c r="A90" s="155" t="s">
        <v>86</v>
      </c>
      <c r="B90" s="155"/>
      <c r="C90" s="155"/>
      <c r="D90" s="31">
        <v>45201</v>
      </c>
      <c r="E90" s="54">
        <f t="shared" si="3"/>
        <v>18415.79</v>
      </c>
      <c r="F90" s="53">
        <f t="shared" si="4"/>
        <v>1438.73</v>
      </c>
      <c r="G90" s="45">
        <f t="shared" si="6"/>
        <v>19854.52</v>
      </c>
    </row>
    <row r="91" spans="1:7" ht="13" x14ac:dyDescent="0.15">
      <c r="A91" s="155" t="s">
        <v>87</v>
      </c>
      <c r="B91" s="155"/>
      <c r="C91" s="155"/>
      <c r="D91" s="31">
        <v>45232</v>
      </c>
      <c r="E91" s="54">
        <f t="shared" si="3"/>
        <v>18415.79</v>
      </c>
      <c r="F91" s="53">
        <f t="shared" si="4"/>
        <v>1438.73</v>
      </c>
      <c r="G91" s="45">
        <f t="shared" si="6"/>
        <v>19854.52</v>
      </c>
    </row>
    <row r="92" spans="1:7" ht="13" x14ac:dyDescent="0.15">
      <c r="A92" s="155" t="s">
        <v>88</v>
      </c>
      <c r="B92" s="155"/>
      <c r="C92" s="155"/>
      <c r="D92" s="31">
        <v>45262</v>
      </c>
      <c r="E92" s="54">
        <f t="shared" si="3"/>
        <v>18415.79</v>
      </c>
      <c r="F92" s="53">
        <f t="shared" si="4"/>
        <v>1438.73</v>
      </c>
      <c r="G92" s="45">
        <f t="shared" ref="G92:G103" si="7">IF(NoDPSchedule&lt;VALUE(LEFT(A92,2))," ",SUM(E92:F92))</f>
        <v>19854.52</v>
      </c>
    </row>
    <row r="93" spans="1:7" ht="13" x14ac:dyDescent="0.15">
      <c r="A93" s="155" t="s">
        <v>89</v>
      </c>
      <c r="B93" s="155"/>
      <c r="C93" s="155"/>
      <c r="D93" s="31">
        <v>45293</v>
      </c>
      <c r="E93" s="54">
        <f t="shared" si="3"/>
        <v>18415.79</v>
      </c>
      <c r="F93" s="53">
        <f t="shared" si="4"/>
        <v>1438.73</v>
      </c>
      <c r="G93" s="45">
        <f t="shared" si="7"/>
        <v>19854.52</v>
      </c>
    </row>
    <row r="94" spans="1:7" ht="13" x14ac:dyDescent="0.15">
      <c r="A94" s="155" t="s">
        <v>90</v>
      </c>
      <c r="B94" s="155"/>
      <c r="C94" s="155"/>
      <c r="D94" s="31">
        <v>45324</v>
      </c>
      <c r="E94" s="54">
        <f t="shared" si="3"/>
        <v>18415.79</v>
      </c>
      <c r="F94" s="53">
        <f t="shared" si="4"/>
        <v>1438.73</v>
      </c>
      <c r="G94" s="45">
        <f t="shared" si="7"/>
        <v>19854.52</v>
      </c>
    </row>
    <row r="95" spans="1:7" ht="13" x14ac:dyDescent="0.15">
      <c r="A95" s="155" t="s">
        <v>91</v>
      </c>
      <c r="B95" s="155"/>
      <c r="C95" s="155"/>
      <c r="D95" s="31">
        <v>45353</v>
      </c>
      <c r="E95" s="54">
        <f t="shared" si="3"/>
        <v>18415.79</v>
      </c>
      <c r="F95" s="53">
        <f t="shared" si="4"/>
        <v>1438.73</v>
      </c>
      <c r="G95" s="45">
        <f t="shared" si="7"/>
        <v>19854.52</v>
      </c>
    </row>
    <row r="96" spans="1:7" ht="13" x14ac:dyDescent="0.15">
      <c r="A96" s="155" t="s">
        <v>123</v>
      </c>
      <c r="B96" s="155"/>
      <c r="C96" s="155"/>
      <c r="D96" s="31">
        <v>45384</v>
      </c>
      <c r="E96" s="54">
        <f t="shared" si="3"/>
        <v>18415.79</v>
      </c>
      <c r="F96" s="53">
        <f t="shared" si="4"/>
        <v>1438.73</v>
      </c>
      <c r="G96" s="45">
        <f t="shared" si="7"/>
        <v>19854.52</v>
      </c>
    </row>
    <row r="97" spans="1:7" ht="13" x14ac:dyDescent="0.15">
      <c r="A97" s="155" t="s">
        <v>124</v>
      </c>
      <c r="B97" s="155"/>
      <c r="C97" s="155"/>
      <c r="D97" s="31">
        <v>45414</v>
      </c>
      <c r="E97" s="54">
        <f t="shared" si="3"/>
        <v>18415.79</v>
      </c>
      <c r="F97" s="53">
        <f t="shared" si="4"/>
        <v>1438.73</v>
      </c>
      <c r="G97" s="45">
        <f t="shared" si="7"/>
        <v>19854.52</v>
      </c>
    </row>
    <row r="98" spans="1:7" ht="13" x14ac:dyDescent="0.15">
      <c r="A98" s="155" t="s">
        <v>145</v>
      </c>
      <c r="B98" s="155"/>
      <c r="C98" s="155"/>
      <c r="D98" s="31">
        <v>45445</v>
      </c>
      <c r="E98" s="54">
        <f t="shared" si="3"/>
        <v>18415.79</v>
      </c>
      <c r="F98" s="53">
        <f t="shared" si="4"/>
        <v>1438.73</v>
      </c>
      <c r="G98" s="45">
        <f t="shared" si="7"/>
        <v>19854.52</v>
      </c>
    </row>
    <row r="99" spans="1:7" ht="13" x14ac:dyDescent="0.15">
      <c r="A99" s="155" t="s">
        <v>146</v>
      </c>
      <c r="B99" s="155"/>
      <c r="C99" s="155"/>
      <c r="D99" s="31">
        <v>45475</v>
      </c>
      <c r="E99" s="54">
        <f t="shared" si="3"/>
        <v>18415.79</v>
      </c>
      <c r="F99" s="53">
        <f t="shared" si="4"/>
        <v>1438.73</v>
      </c>
      <c r="G99" s="45">
        <f t="shared" si="7"/>
        <v>19854.52</v>
      </c>
    </row>
    <row r="100" spans="1:7" ht="13" x14ac:dyDescent="0.15">
      <c r="A100" s="155" t="s">
        <v>147</v>
      </c>
      <c r="B100" s="155"/>
      <c r="C100" s="155"/>
      <c r="D100" s="31">
        <v>45506</v>
      </c>
      <c r="E100" s="54">
        <f t="shared" si="3"/>
        <v>18415.79</v>
      </c>
      <c r="F100" s="53">
        <f t="shared" si="4"/>
        <v>1438.73</v>
      </c>
      <c r="G100" s="45">
        <f t="shared" si="7"/>
        <v>19854.52</v>
      </c>
    </row>
    <row r="101" spans="1:7" ht="13" x14ac:dyDescent="0.15">
      <c r="A101" s="155" t="s">
        <v>148</v>
      </c>
      <c r="B101" s="155"/>
      <c r="C101" s="155"/>
      <c r="D101" s="31">
        <v>45537</v>
      </c>
      <c r="E101" s="54">
        <f t="shared" si="3"/>
        <v>18415.79</v>
      </c>
      <c r="F101" s="53">
        <f t="shared" si="4"/>
        <v>1438.73</v>
      </c>
      <c r="G101" s="45">
        <f t="shared" si="7"/>
        <v>19854.52</v>
      </c>
    </row>
    <row r="102" spans="1:7" ht="13" x14ac:dyDescent="0.15">
      <c r="A102" s="155" t="s">
        <v>149</v>
      </c>
      <c r="B102" s="155"/>
      <c r="C102" s="155"/>
      <c r="D102" s="31">
        <v>45567</v>
      </c>
      <c r="E102" s="54">
        <f t="shared" si="3"/>
        <v>18415.79</v>
      </c>
      <c r="F102" s="53">
        <f t="shared" si="4"/>
        <v>1438.73</v>
      </c>
      <c r="G102" s="45">
        <f t="shared" si="7"/>
        <v>19854.52</v>
      </c>
    </row>
    <row r="103" spans="1:7" ht="13" x14ac:dyDescent="0.15">
      <c r="A103" s="155" t="s">
        <v>150</v>
      </c>
      <c r="B103" s="155"/>
      <c r="C103" s="155"/>
      <c r="D103" s="31">
        <v>45598</v>
      </c>
      <c r="E103" s="54">
        <f t="shared" si="3"/>
        <v>18415.589999999851</v>
      </c>
      <c r="F103" s="53">
        <f t="shared" si="4"/>
        <v>1438.929999999993</v>
      </c>
      <c r="G103" s="45">
        <f t="shared" si="7"/>
        <v>19854.519999999844</v>
      </c>
    </row>
    <row r="104" spans="1:7" ht="13" hidden="1" x14ac:dyDescent="0.15">
      <c r="A104" s="128"/>
      <c r="B104" s="128"/>
      <c r="C104" s="128"/>
      <c r="D104" s="55"/>
      <c r="E104" s="54"/>
      <c r="F104" s="53"/>
      <c r="G104" s="45"/>
    </row>
    <row r="105" spans="1:7" ht="13" hidden="1" x14ac:dyDescent="0.15">
      <c r="A105" s="128"/>
      <c r="B105" s="128"/>
      <c r="C105" s="128"/>
      <c r="D105" s="55"/>
      <c r="E105" s="54"/>
      <c r="F105" s="53"/>
      <c r="G105" s="45"/>
    </row>
    <row r="106" spans="1:7" ht="13" hidden="1" x14ac:dyDescent="0.15">
      <c r="A106" s="128"/>
      <c r="B106" s="128"/>
      <c r="C106" s="128"/>
      <c r="D106" s="55"/>
      <c r="E106" s="54"/>
      <c r="F106" s="53"/>
      <c r="G106" s="45"/>
    </row>
    <row r="107" spans="1:7" ht="13" hidden="1" x14ac:dyDescent="0.15">
      <c r="A107" s="128"/>
      <c r="B107" s="128"/>
      <c r="C107" s="128"/>
      <c r="D107" s="55"/>
      <c r="E107" s="54"/>
      <c r="F107" s="53"/>
      <c r="G107" s="45"/>
    </row>
    <row r="108" spans="1:7" ht="13" hidden="1" x14ac:dyDescent="0.15">
      <c r="A108" s="128"/>
      <c r="B108" s="128"/>
      <c r="C108" s="128"/>
      <c r="D108" s="55"/>
      <c r="E108" s="54"/>
      <c r="F108" s="53"/>
      <c r="G108" s="45"/>
    </row>
    <row r="109" spans="1:7" ht="13" hidden="1" x14ac:dyDescent="0.15">
      <c r="A109" s="128"/>
      <c r="B109" s="128"/>
      <c r="C109" s="128"/>
      <c r="D109" s="55"/>
      <c r="E109" s="54"/>
      <c r="F109" s="53"/>
      <c r="G109" s="45"/>
    </row>
    <row r="110" spans="1:7" ht="13" hidden="1" x14ac:dyDescent="0.15">
      <c r="A110" s="128"/>
      <c r="B110" s="128"/>
      <c r="C110" s="128"/>
      <c r="D110" s="55"/>
      <c r="E110" s="54"/>
      <c r="F110" s="53"/>
      <c r="G110" s="45"/>
    </row>
    <row r="111" spans="1:7" ht="13" hidden="1" x14ac:dyDescent="0.15">
      <c r="A111" s="128"/>
      <c r="B111" s="128"/>
      <c r="C111" s="128"/>
      <c r="D111" s="55"/>
      <c r="E111" s="54"/>
      <c r="F111" s="53"/>
      <c r="G111" s="45"/>
    </row>
    <row r="112" spans="1:7" ht="13" hidden="1" x14ac:dyDescent="0.15">
      <c r="A112" s="128"/>
      <c r="B112" s="128"/>
      <c r="C112" s="128"/>
      <c r="D112" s="55"/>
      <c r="E112" s="54"/>
      <c r="F112" s="53"/>
      <c r="G112" s="45"/>
    </row>
    <row r="113" spans="1:7" ht="13" hidden="1" x14ac:dyDescent="0.15">
      <c r="A113" s="128"/>
      <c r="B113" s="128"/>
      <c r="C113" s="128"/>
      <c r="D113" s="55"/>
      <c r="E113" s="54"/>
      <c r="F113" s="53"/>
      <c r="G113" s="45"/>
    </row>
    <row r="114" spans="1:7" ht="13" hidden="1" x14ac:dyDescent="0.15">
      <c r="A114" s="128"/>
      <c r="B114" s="128"/>
      <c r="C114" s="128"/>
      <c r="D114" s="55"/>
      <c r="E114" s="54"/>
      <c r="F114" s="53"/>
      <c r="G114" s="45"/>
    </row>
    <row r="116" spans="1:7" ht="13" x14ac:dyDescent="0.15">
      <c r="A116" s="44" t="s">
        <v>96</v>
      </c>
      <c r="B116" s="43"/>
      <c r="C116" s="43"/>
      <c r="D116" s="43"/>
    </row>
    <row r="117" spans="1:7" ht="13" x14ac:dyDescent="0.15">
      <c r="A117" s="154" t="s">
        <v>97</v>
      </c>
      <c r="B117" s="154"/>
      <c r="C117" s="154"/>
      <c r="D117" s="154"/>
      <c r="E117" s="154"/>
      <c r="F117" s="154"/>
      <c r="G117" s="154"/>
    </row>
    <row r="118" spans="1:7" ht="13" x14ac:dyDescent="0.15">
      <c r="A118" s="43" t="s">
        <v>98</v>
      </c>
      <c r="B118" s="43"/>
      <c r="C118" s="43"/>
      <c r="D118" s="43"/>
    </row>
    <row r="119" spans="1:7" ht="13" x14ac:dyDescent="0.15">
      <c r="A119" s="43" t="s">
        <v>99</v>
      </c>
      <c r="B119" s="43"/>
      <c r="C119" s="43"/>
      <c r="D119" s="43"/>
    </row>
    <row r="120" spans="1:7" ht="13" x14ac:dyDescent="0.15">
      <c r="A120" s="43" t="s">
        <v>100</v>
      </c>
      <c r="B120" s="43"/>
      <c r="C120" s="43"/>
      <c r="D120" s="43"/>
    </row>
    <row r="121" spans="1:7" ht="13" x14ac:dyDescent="0.15">
      <c r="A121" s="127" t="s">
        <v>101</v>
      </c>
      <c r="B121" s="43"/>
      <c r="C121" s="43"/>
      <c r="D121" s="43"/>
    </row>
    <row r="122" spans="1:7" ht="13" x14ac:dyDescent="0.15">
      <c r="A122" s="127" t="s">
        <v>102</v>
      </c>
      <c r="B122" s="43"/>
      <c r="C122" s="43"/>
      <c r="D122" s="43"/>
    </row>
    <row r="123" spans="1:7" ht="13" x14ac:dyDescent="0.15">
      <c r="A123" s="127" t="s">
        <v>103</v>
      </c>
      <c r="B123" s="43"/>
      <c r="C123" s="43"/>
      <c r="D123" s="43"/>
    </row>
    <row r="124" spans="1:7" ht="13" x14ac:dyDescent="0.15">
      <c r="A124" s="127" t="s">
        <v>104</v>
      </c>
      <c r="B124" s="43"/>
      <c r="C124" s="43"/>
      <c r="D124" s="43"/>
    </row>
    <row r="125" spans="1:7" ht="13" x14ac:dyDescent="0.15">
      <c r="A125" s="127" t="s">
        <v>105</v>
      </c>
      <c r="B125" s="43"/>
      <c r="C125" s="43"/>
      <c r="D125" s="43"/>
    </row>
    <row r="126" spans="1:7" ht="13" x14ac:dyDescent="0.15">
      <c r="A126" s="154" t="s">
        <v>106</v>
      </c>
      <c r="B126" s="154"/>
      <c r="C126" s="154"/>
      <c r="D126" s="154"/>
      <c r="E126" s="154"/>
      <c r="F126" s="154"/>
      <c r="G126" s="154"/>
    </row>
    <row r="129" spans="1:7" ht="13" x14ac:dyDescent="0.15">
      <c r="A129" s="41" t="s">
        <v>107</v>
      </c>
      <c r="E129" s="41" t="s">
        <v>108</v>
      </c>
    </row>
    <row r="132" spans="1:7" ht="13" x14ac:dyDescent="0.15">
      <c r="A132" s="42"/>
      <c r="B132" s="42"/>
      <c r="C132" s="42"/>
      <c r="E132" s="42"/>
      <c r="F132" s="42"/>
      <c r="G132" s="42"/>
    </row>
    <row r="133" spans="1:7" ht="13" x14ac:dyDescent="0.15">
      <c r="A133" s="41" t="s">
        <v>109</v>
      </c>
      <c r="E133" s="41" t="s">
        <v>109</v>
      </c>
    </row>
    <row r="134" spans="1:7" ht="13" x14ac:dyDescent="0.15">
      <c r="A134" s="41" t="s">
        <v>110</v>
      </c>
      <c r="E134" s="41" t="s">
        <v>111</v>
      </c>
    </row>
    <row r="137" spans="1:7" ht="13" x14ac:dyDescent="0.15">
      <c r="A137" s="41" t="s">
        <v>112</v>
      </c>
    </row>
    <row r="140" spans="1:7" ht="13" x14ac:dyDescent="0.15">
      <c r="A140" s="42"/>
      <c r="B140" s="42"/>
      <c r="C140" s="42"/>
    </row>
    <row r="141" spans="1:7" ht="13" x14ac:dyDescent="0.15">
      <c r="A141" s="41" t="s">
        <v>109</v>
      </c>
    </row>
    <row r="142" spans="1:7" ht="13" x14ac:dyDescent="0.15">
      <c r="A142" s="41" t="s">
        <v>113</v>
      </c>
    </row>
  </sheetData>
  <mergeCells count="68">
    <mergeCell ref="A86:C86"/>
    <mergeCell ref="A87:C87"/>
    <mergeCell ref="A88:C88"/>
    <mergeCell ref="A89:C89"/>
    <mergeCell ref="A90:C90"/>
    <mergeCell ref="A91:C91"/>
    <mergeCell ref="F7:G7"/>
    <mergeCell ref="A69:C69"/>
    <mergeCell ref="F6:G6"/>
    <mergeCell ref="A75:C75"/>
    <mergeCell ref="B43:C43"/>
    <mergeCell ref="A68:C68"/>
    <mergeCell ref="A51:C51"/>
    <mergeCell ref="A72:C72"/>
    <mergeCell ref="A53:C53"/>
    <mergeCell ref="A62:C62"/>
    <mergeCell ref="A50:C50"/>
    <mergeCell ref="A77:C77"/>
    <mergeCell ref="A49:C49"/>
    <mergeCell ref="A82:C82"/>
    <mergeCell ref="A60:C60"/>
    <mergeCell ref="A73:C73"/>
    <mergeCell ref="A58:C58"/>
    <mergeCell ref="A55:C55"/>
    <mergeCell ref="A64:C64"/>
    <mergeCell ref="A63:C63"/>
    <mergeCell ref="A81:C81"/>
    <mergeCell ref="A85:C85"/>
    <mergeCell ref="A84:C84"/>
    <mergeCell ref="A59:C59"/>
    <mergeCell ref="A70:C70"/>
    <mergeCell ref="A67:C67"/>
    <mergeCell ref="A66:C66"/>
    <mergeCell ref="A65:C65"/>
    <mergeCell ref="A83:C83"/>
    <mergeCell ref="A80:C80"/>
    <mergeCell ref="A76:C76"/>
    <mergeCell ref="A71:C71"/>
    <mergeCell ref="A79:C79"/>
    <mergeCell ref="A78:C78"/>
    <mergeCell ref="A61:C61"/>
    <mergeCell ref="A74:C74"/>
    <mergeCell ref="A3:G3"/>
    <mergeCell ref="B2:F2"/>
    <mergeCell ref="B1:F1"/>
    <mergeCell ref="A48:C48"/>
    <mergeCell ref="A57:C57"/>
    <mergeCell ref="A56:C56"/>
    <mergeCell ref="A47:C47"/>
    <mergeCell ref="A46:C46"/>
    <mergeCell ref="A45:C45"/>
    <mergeCell ref="A44:C44"/>
    <mergeCell ref="A54:C54"/>
    <mergeCell ref="A52:C52"/>
    <mergeCell ref="A92:C92"/>
    <mergeCell ref="A93:C93"/>
    <mergeCell ref="A94:C94"/>
    <mergeCell ref="A95:C95"/>
    <mergeCell ref="A96:C96"/>
    <mergeCell ref="A97:C97"/>
    <mergeCell ref="A117:G117"/>
    <mergeCell ref="A126:G126"/>
    <mergeCell ref="A98:C98"/>
    <mergeCell ref="A99:C99"/>
    <mergeCell ref="A100:C100"/>
    <mergeCell ref="A101:C101"/>
    <mergeCell ref="A102:C102"/>
    <mergeCell ref="A103:C103"/>
  </mergeCells>
  <conditionalFormatting sqref="A45:C52">
    <cfRule type="expression" dxfId="19" priority="1" stopIfTrue="1">
      <formula>VALUE(NoDPSchedule)&lt;VALUE(LEFT(A45,1))</formula>
    </cfRule>
  </conditionalFormatting>
  <conditionalFormatting sqref="A53:C114">
    <cfRule type="expression" dxfId="18" priority="2" stopIfTrue="1">
      <formula>VALUE(NoDPSchedule)&lt;VALUE(LEFT(A53,2))</formula>
    </cfRule>
  </conditionalFormatting>
  <conditionalFormatting sqref="G11 G25">
    <cfRule type="expression" dxfId="17" priority="3" stopIfTrue="1">
      <formula>G11=0</formula>
    </cfRule>
  </conditionalFormatting>
  <conditionalFormatting sqref="B11">
    <cfRule type="expression" dxfId="16" priority="4" stopIfTrue="1">
      <formula>G11=0</formula>
    </cfRule>
  </conditionalFormatting>
  <conditionalFormatting sqref="B25">
    <cfRule type="expression" dxfId="15" priority="5" stopIfTrue="1">
      <formula>G25=0</formula>
    </cfRule>
  </conditionalFormatting>
  <printOptions horizontalCentered="1"/>
  <pageMargins left="0.25" right="0.25" top="0.5" bottom="0.5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122"/>
  <sheetViews>
    <sheetView topLeftCell="A8" workbookViewId="0">
      <selection activeCell="L39" sqref="L39"/>
    </sheetView>
  </sheetViews>
  <sheetFormatPr baseColWidth="10" defaultColWidth="12.33203125" defaultRowHeight="12.75" customHeight="1" x14ac:dyDescent="0.15"/>
  <cols>
    <col min="1" max="6" width="12.33203125" style="41"/>
    <col min="7" max="7" width="19" style="41" customWidth="1"/>
    <col min="8" max="8" width="0" style="41" hidden="1" customWidth="1"/>
    <col min="9" max="16384" width="12.33203125" style="41"/>
  </cols>
  <sheetData>
    <row r="1" spans="1:10" ht="14.25" customHeight="1" thickTop="1" x14ac:dyDescent="0.2">
      <c r="A1" s="83"/>
      <c r="B1" s="157" t="s">
        <v>0</v>
      </c>
      <c r="C1" s="157"/>
      <c r="D1" s="157"/>
      <c r="E1" s="157"/>
      <c r="F1" s="157"/>
      <c r="G1" s="82"/>
    </row>
    <row r="2" spans="1:10" ht="14.25" customHeight="1" x14ac:dyDescent="0.15">
      <c r="A2" s="81"/>
      <c r="B2" s="158" t="s">
        <v>1</v>
      </c>
      <c r="C2" s="158"/>
      <c r="D2" s="158"/>
      <c r="E2" s="158"/>
      <c r="F2" s="158"/>
      <c r="G2" s="80"/>
    </row>
    <row r="3" spans="1:10" ht="30" customHeight="1" x14ac:dyDescent="0.15">
      <c r="A3" s="176" t="s">
        <v>151</v>
      </c>
      <c r="B3" s="177"/>
      <c r="C3" s="177"/>
      <c r="D3" s="177"/>
      <c r="E3" s="177"/>
      <c r="F3" s="177"/>
      <c r="G3" s="178"/>
    </row>
    <row r="4" spans="1:10" ht="15" customHeight="1" thickBot="1" x14ac:dyDescent="0.2">
      <c r="A4" s="79">
        <f>IF(A47&lt;=12,12,A47)</f>
        <v>42</v>
      </c>
      <c r="B4" s="78"/>
      <c r="C4" s="78"/>
      <c r="D4" s="98" t="s">
        <v>3</v>
      </c>
      <c r="E4" s="78"/>
      <c r="F4" s="78"/>
      <c r="G4" s="77"/>
    </row>
    <row r="5" spans="1:10" ht="13.5" customHeight="1" thickTop="1" x14ac:dyDescent="0.15">
      <c r="G5" s="76">
        <v>42</v>
      </c>
    </row>
    <row r="6" spans="1:10" ht="13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</row>
    <row r="7" spans="1:10" ht="13" x14ac:dyDescent="0.15">
      <c r="A7" s="131">
        <f>[0]!Tower</f>
        <v>1</v>
      </c>
      <c r="B7" s="131">
        <f>[0]!Unit</f>
        <v>28</v>
      </c>
      <c r="C7" s="131" t="str">
        <f>[0]!Floor</f>
        <v>2P</v>
      </c>
      <c r="D7" s="131">
        <f>[0]!FloorArea</f>
        <v>12.5</v>
      </c>
      <c r="E7" s="131"/>
      <c r="F7" s="160" t="str">
        <f>[0]!Model</f>
        <v>COVERED PARKING</v>
      </c>
      <c r="G7" s="160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[0]!SellingPrice</f>
        <v>1500800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160800</v>
      </c>
    </row>
    <row r="12" spans="1:10" ht="13" hidden="1" x14ac:dyDescent="0.15">
      <c r="A12" s="62">
        <v>10</v>
      </c>
      <c r="B12" s="41" t="str">
        <f>CONCATENATE(A12,"% Discount on ",A39, "% SFDP")</f>
        <v>10% Discount on 20% SFDP</v>
      </c>
      <c r="F12" s="72"/>
      <c r="G12" s="45">
        <f>(SellingPrice-G11)*(PercentageDiscount/100)*(A33/100)</f>
        <v>67000</v>
      </c>
      <c r="I12" s="45"/>
      <c r="J12" s="45"/>
    </row>
    <row r="13" spans="1:10" ht="13" hidden="1" x14ac:dyDescent="0.15">
      <c r="B13" s="41" t="s">
        <v>14</v>
      </c>
      <c r="G13" s="45">
        <v>0</v>
      </c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3" hidden="1" x14ac:dyDescent="0.15">
      <c r="B16" s="41" t="s">
        <v>18</v>
      </c>
      <c r="G16" s="45">
        <v>0</v>
      </c>
      <c r="I16" s="45"/>
    </row>
    <row r="17" spans="1:10" ht="13" hidden="1" x14ac:dyDescent="0.15">
      <c r="B17" s="41" t="s">
        <v>19</v>
      </c>
      <c r="G17" s="45">
        <v>0</v>
      </c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hidden="1" x14ac:dyDescent="0.15">
      <c r="B20" s="41" t="s">
        <v>22</v>
      </c>
      <c r="G20" s="45">
        <v>0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(SellingPrice-G11)-SUM(G12:G22)</f>
        <v>1273000</v>
      </c>
      <c r="H24" s="95">
        <f>G24*7%</f>
        <v>89110.000000000015</v>
      </c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152760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89110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89110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1514870</v>
      </c>
    </row>
    <row r="32" spans="1:10" ht="13" x14ac:dyDescent="0.15">
      <c r="A32" s="48" t="s">
        <v>31</v>
      </c>
    </row>
    <row r="33" spans="1:10" ht="13" x14ac:dyDescent="0.15">
      <c r="A33" s="69">
        <v>50</v>
      </c>
      <c r="B33" s="41" t="str">
        <f>CONCATENATE("Downpayment ("&amp;A33&amp;"% of Selling Price)")</f>
        <v>Downpayment (50% of Selling Price)</v>
      </c>
      <c r="G33" s="45">
        <f>ROUND((G24+G25)*(A33/100),2)</f>
        <v>712880</v>
      </c>
    </row>
    <row r="34" spans="1:10" ht="13.5" customHeight="1" thickBot="1" x14ac:dyDescent="0.2">
      <c r="A34" s="48"/>
      <c r="B34" s="41" t="s">
        <v>32</v>
      </c>
      <c r="G34" s="45">
        <f>ROUND(G29*(A33/100),2)</f>
        <v>44555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757435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44075.451322222223</v>
      </c>
      <c r="G36" s="45">
        <v>50000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707435</v>
      </c>
    </row>
    <row r="39" spans="1:10" ht="13" x14ac:dyDescent="0.15">
      <c r="A39" s="62">
        <v>20</v>
      </c>
      <c r="B39" s="41" t="str">
        <f>CONCATENATE("Spot Downpayment (" &amp;A39&amp;"% of Selling Price)")</f>
        <v>Spot Downpayment (20% of Selling Price)</v>
      </c>
      <c r="E39" s="51"/>
      <c r="F39" s="50"/>
      <c r="G39" s="45">
        <f>ROUND((SUM(G24:G25)*(A39/100))-G36,2)</f>
        <v>235152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17822</v>
      </c>
      <c r="J40" s="45"/>
    </row>
    <row r="41" spans="1:10" ht="13.5" customHeight="1" thickTop="1" x14ac:dyDescent="0.15">
      <c r="B41" s="44" t="s">
        <v>122</v>
      </c>
      <c r="E41" s="51"/>
      <c r="F41" s="50">
        <f ca="1">ReservationDate+30</f>
        <v>44105.451322222223</v>
      </c>
      <c r="G41" s="61">
        <f>SUM(G39:G40)</f>
        <v>252974</v>
      </c>
    </row>
    <row r="42" spans="1:10" ht="13" x14ac:dyDescent="0.15">
      <c r="B42" s="52"/>
      <c r="E42" s="51"/>
      <c r="F42" s="50"/>
      <c r="G42" s="49"/>
    </row>
    <row r="43" spans="1:10" ht="13" x14ac:dyDescent="0.15">
      <c r="A43" s="62">
        <f>A33-A39</f>
        <v>30</v>
      </c>
      <c r="B43" s="60" t="str">
        <f>CONCATENATE("Streched Downpayment (" &amp; A43 &amp;"% of Selling Price)")</f>
        <v>Streched Downpayment (30% of Selling Price)</v>
      </c>
      <c r="E43" s="51"/>
      <c r="F43" s="50"/>
      <c r="G43" s="45">
        <f>G33-G39-ReservationFee</f>
        <v>427728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26733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42 months</v>
      </c>
      <c r="E45" s="51"/>
      <c r="F45" s="50"/>
      <c r="G45" s="61">
        <f>SUM(G43:G44)</f>
        <v>454461</v>
      </c>
    </row>
    <row r="46" spans="1:10" ht="13" x14ac:dyDescent="0.15">
      <c r="B46" s="60"/>
      <c r="E46" s="51"/>
      <c r="F46" s="50"/>
      <c r="G46" s="49"/>
    </row>
    <row r="47" spans="1:10" ht="25.5" customHeight="1" x14ac:dyDescent="0.15">
      <c r="A47" s="59">
        <f>VALUE(42)</f>
        <v>42</v>
      </c>
      <c r="B47" s="156" t="s">
        <v>36</v>
      </c>
      <c r="C47" s="156"/>
      <c r="D47" s="129" t="s">
        <v>37</v>
      </c>
      <c r="E47" s="58" t="s">
        <v>38</v>
      </c>
      <c r="F47" s="57" t="s">
        <v>27</v>
      </c>
      <c r="G47" s="56" t="s">
        <v>39</v>
      </c>
    </row>
    <row r="48" spans="1:10" ht="13" x14ac:dyDescent="0.15">
      <c r="A48" s="155" t="s">
        <v>40</v>
      </c>
      <c r="B48" s="155"/>
      <c r="C48" s="155"/>
      <c r="D48" s="55">
        <f ca="1">F41+30</f>
        <v>44135.451322222223</v>
      </c>
      <c r="E48" s="54">
        <f>ROUND(G43/A47,2)</f>
        <v>10184</v>
      </c>
      <c r="F48" s="53">
        <f>ROUND(G44/A47,2)</f>
        <v>636.5</v>
      </c>
      <c r="G48" s="45">
        <f>SUM(E48:F48)</f>
        <v>10820.5</v>
      </c>
    </row>
    <row r="49" spans="1:7" ht="13" x14ac:dyDescent="0.15">
      <c r="A49" s="155" t="s">
        <v>41</v>
      </c>
      <c r="B49" s="155"/>
      <c r="C49" s="155"/>
      <c r="D49" s="55">
        <f t="shared" ref="D49:D56" ca="1" si="0">IF($A$47&lt;VALUE(LEFT(A49,1))," ",DATE(YEAR(D48+30),MONTH(D48+30),DAY(D48)))</f>
        <v>44166</v>
      </c>
      <c r="E49" s="54">
        <f t="shared" ref="E49:E56" si="1">IF($A$47&lt;VALUE(LEFT(A49,1))," ",IF($A$47=VALUE(LEFT(A49,1)),$G$43-($E$48*($A$47-1)),E48))</f>
        <v>10184</v>
      </c>
      <c r="F49" s="53">
        <f t="shared" ref="F49:F56" si="2">IF($A$47&lt;VALUE(LEFT(A49,1))," ",IF($A$47=VALUE(LEFT(A49,1)),$G$44-($F$48*($A$47-1)),F48))</f>
        <v>636.5</v>
      </c>
      <c r="G49" s="45">
        <f t="shared" ref="G49:G56" si="3">IF($A$47&lt;VALUE(LEFT(A49,1))," ",SUM(E49:F49))</f>
        <v>10820.5</v>
      </c>
    </row>
    <row r="50" spans="1:7" ht="13" x14ac:dyDescent="0.15">
      <c r="A50" s="155" t="s">
        <v>42</v>
      </c>
      <c r="B50" s="155"/>
      <c r="C50" s="155"/>
      <c r="D50" s="55">
        <f t="shared" ca="1" si="0"/>
        <v>44166</v>
      </c>
      <c r="E50" s="54">
        <f t="shared" si="1"/>
        <v>10184</v>
      </c>
      <c r="F50" s="53">
        <f t="shared" si="2"/>
        <v>636.5</v>
      </c>
      <c r="G50" s="45">
        <f t="shared" si="3"/>
        <v>10820.5</v>
      </c>
    </row>
    <row r="51" spans="1:7" ht="13" x14ac:dyDescent="0.15">
      <c r="A51" s="155" t="s">
        <v>43</v>
      </c>
      <c r="B51" s="155"/>
      <c r="C51" s="155"/>
      <c r="D51" s="55">
        <f t="shared" ca="1" si="0"/>
        <v>44166</v>
      </c>
      <c r="E51" s="54">
        <f t="shared" si="1"/>
        <v>10184</v>
      </c>
      <c r="F51" s="53">
        <f t="shared" si="2"/>
        <v>636.5</v>
      </c>
      <c r="G51" s="45">
        <f t="shared" si="3"/>
        <v>10820.5</v>
      </c>
    </row>
    <row r="52" spans="1:7" ht="13" x14ac:dyDescent="0.15">
      <c r="A52" s="155" t="s">
        <v>44</v>
      </c>
      <c r="B52" s="155"/>
      <c r="C52" s="155"/>
      <c r="D52" s="55">
        <f t="shared" ca="1" si="0"/>
        <v>44166</v>
      </c>
      <c r="E52" s="54">
        <f t="shared" si="1"/>
        <v>10184</v>
      </c>
      <c r="F52" s="53">
        <f t="shared" si="2"/>
        <v>636.5</v>
      </c>
      <c r="G52" s="45">
        <f t="shared" si="3"/>
        <v>10820.5</v>
      </c>
    </row>
    <row r="53" spans="1:7" ht="13" x14ac:dyDescent="0.15">
      <c r="A53" s="155" t="s">
        <v>45</v>
      </c>
      <c r="B53" s="155"/>
      <c r="C53" s="155"/>
      <c r="D53" s="55">
        <f t="shared" ca="1" si="0"/>
        <v>44166</v>
      </c>
      <c r="E53" s="54">
        <f t="shared" si="1"/>
        <v>10184</v>
      </c>
      <c r="F53" s="53">
        <f t="shared" si="2"/>
        <v>636.5</v>
      </c>
      <c r="G53" s="45">
        <f t="shared" si="3"/>
        <v>10820.5</v>
      </c>
    </row>
    <row r="54" spans="1:7" ht="13" x14ac:dyDescent="0.15">
      <c r="A54" s="155" t="s">
        <v>46</v>
      </c>
      <c r="B54" s="155"/>
      <c r="C54" s="155"/>
      <c r="D54" s="55">
        <f t="shared" ca="1" si="0"/>
        <v>44166</v>
      </c>
      <c r="E54" s="54">
        <f t="shared" si="1"/>
        <v>10184</v>
      </c>
      <c r="F54" s="53">
        <f t="shared" si="2"/>
        <v>636.5</v>
      </c>
      <c r="G54" s="45">
        <f t="shared" si="3"/>
        <v>10820.5</v>
      </c>
    </row>
    <row r="55" spans="1:7" ht="13" x14ac:dyDescent="0.15">
      <c r="A55" s="155" t="s">
        <v>47</v>
      </c>
      <c r="B55" s="155"/>
      <c r="C55" s="155"/>
      <c r="D55" s="55">
        <f t="shared" ca="1" si="0"/>
        <v>44166</v>
      </c>
      <c r="E55" s="54">
        <f t="shared" si="1"/>
        <v>10184</v>
      </c>
      <c r="F55" s="53">
        <f t="shared" si="2"/>
        <v>636.5</v>
      </c>
      <c r="G55" s="45">
        <f t="shared" si="3"/>
        <v>10820.5</v>
      </c>
    </row>
    <row r="56" spans="1:7" ht="13" x14ac:dyDescent="0.15">
      <c r="A56" s="155" t="s">
        <v>48</v>
      </c>
      <c r="B56" s="155"/>
      <c r="C56" s="155"/>
      <c r="D56" s="55">
        <f t="shared" ca="1" si="0"/>
        <v>44166</v>
      </c>
      <c r="E56" s="54">
        <f t="shared" si="1"/>
        <v>10184</v>
      </c>
      <c r="F56" s="53">
        <f t="shared" si="2"/>
        <v>636.5</v>
      </c>
      <c r="G56" s="45">
        <f t="shared" si="3"/>
        <v>10820.5</v>
      </c>
    </row>
    <row r="57" spans="1:7" ht="13" x14ac:dyDescent="0.15">
      <c r="A57" s="155" t="s">
        <v>49</v>
      </c>
      <c r="B57" s="155"/>
      <c r="C57" s="155"/>
      <c r="D57" s="55">
        <f t="shared" ref="D57:D71" ca="1" si="4">IF($A$47&lt;VALUE(LEFT(A57,2))," ",DATE(YEAR(D56+30),MONTH(D56+30),DAY(D56)))</f>
        <v>44166</v>
      </c>
      <c r="E57" s="54">
        <f t="shared" ref="E57:E71" si="5">IF($A$47&lt;VALUE(LEFT(A57,2))," ",IF($A$47=VALUE(LEFT(A57,2)),$G$43-($E$48*($A$47-1)),E56))</f>
        <v>10184</v>
      </c>
      <c r="F57" s="53">
        <f t="shared" ref="F57:F71" si="6">IF($A$47&lt;VALUE(LEFT(A57,2))," ",IF($A$47=VALUE(LEFT(A57,2)),$G$44-($F$48*($A$47-1)),F56))</f>
        <v>636.5</v>
      </c>
      <c r="G57" s="45">
        <f t="shared" ref="G57:G71" si="7">IF($A$47&lt;VALUE(LEFT(A57,2))," ",SUM(E57:F57))</f>
        <v>10820.5</v>
      </c>
    </row>
    <row r="58" spans="1:7" ht="13" x14ac:dyDescent="0.15">
      <c r="A58" s="155" t="s">
        <v>50</v>
      </c>
      <c r="B58" s="155"/>
      <c r="C58" s="155"/>
      <c r="D58" s="55">
        <f t="shared" ca="1" si="4"/>
        <v>44166</v>
      </c>
      <c r="E58" s="54">
        <f t="shared" si="5"/>
        <v>10184</v>
      </c>
      <c r="F58" s="53">
        <f t="shared" si="6"/>
        <v>636.5</v>
      </c>
      <c r="G58" s="45">
        <f t="shared" si="7"/>
        <v>10820.5</v>
      </c>
    </row>
    <row r="59" spans="1:7" ht="13" x14ac:dyDescent="0.15">
      <c r="A59" s="155" t="s">
        <v>51</v>
      </c>
      <c r="B59" s="155"/>
      <c r="C59" s="155"/>
      <c r="D59" s="55">
        <f t="shared" ca="1" si="4"/>
        <v>44166</v>
      </c>
      <c r="E59" s="54">
        <f t="shared" si="5"/>
        <v>10184</v>
      </c>
      <c r="F59" s="53">
        <f t="shared" si="6"/>
        <v>636.5</v>
      </c>
      <c r="G59" s="45">
        <f t="shared" si="7"/>
        <v>10820.5</v>
      </c>
    </row>
    <row r="60" spans="1:7" ht="13" x14ac:dyDescent="0.15">
      <c r="A60" s="155" t="s">
        <v>52</v>
      </c>
      <c r="B60" s="155"/>
      <c r="C60" s="155"/>
      <c r="D60" s="55">
        <f t="shared" ca="1" si="4"/>
        <v>44166</v>
      </c>
      <c r="E60" s="54">
        <f t="shared" si="5"/>
        <v>10184</v>
      </c>
      <c r="F60" s="53">
        <f t="shared" si="6"/>
        <v>636.5</v>
      </c>
      <c r="G60" s="45">
        <f t="shared" si="7"/>
        <v>10820.5</v>
      </c>
    </row>
    <row r="61" spans="1:7" ht="13" x14ac:dyDescent="0.15">
      <c r="A61" s="155" t="s">
        <v>53</v>
      </c>
      <c r="B61" s="155"/>
      <c r="C61" s="155"/>
      <c r="D61" s="55">
        <f t="shared" ca="1" si="4"/>
        <v>44166</v>
      </c>
      <c r="E61" s="54">
        <f t="shared" si="5"/>
        <v>10184</v>
      </c>
      <c r="F61" s="53">
        <f t="shared" si="6"/>
        <v>636.5</v>
      </c>
      <c r="G61" s="45">
        <f t="shared" si="7"/>
        <v>10820.5</v>
      </c>
    </row>
    <row r="62" spans="1:7" ht="13" x14ac:dyDescent="0.15">
      <c r="A62" s="155" t="s">
        <v>54</v>
      </c>
      <c r="B62" s="155"/>
      <c r="C62" s="155"/>
      <c r="D62" s="55">
        <f t="shared" ca="1" si="4"/>
        <v>44166</v>
      </c>
      <c r="E62" s="54">
        <f t="shared" si="5"/>
        <v>10184</v>
      </c>
      <c r="F62" s="53">
        <f t="shared" si="6"/>
        <v>636.5</v>
      </c>
      <c r="G62" s="45">
        <f t="shared" si="7"/>
        <v>10820.5</v>
      </c>
    </row>
    <row r="63" spans="1:7" ht="13" x14ac:dyDescent="0.15">
      <c r="A63" s="155" t="s">
        <v>55</v>
      </c>
      <c r="B63" s="155"/>
      <c r="C63" s="155"/>
      <c r="D63" s="55">
        <f t="shared" ca="1" si="4"/>
        <v>44166</v>
      </c>
      <c r="E63" s="54">
        <f t="shared" si="5"/>
        <v>10184</v>
      </c>
      <c r="F63" s="53">
        <f t="shared" si="6"/>
        <v>636.5</v>
      </c>
      <c r="G63" s="45">
        <f t="shared" si="7"/>
        <v>10820.5</v>
      </c>
    </row>
    <row r="64" spans="1:7" ht="13" x14ac:dyDescent="0.15">
      <c r="A64" s="155" t="s">
        <v>56</v>
      </c>
      <c r="B64" s="155"/>
      <c r="C64" s="155"/>
      <c r="D64" s="55">
        <f t="shared" ca="1" si="4"/>
        <v>44166</v>
      </c>
      <c r="E64" s="54">
        <f t="shared" si="5"/>
        <v>10184</v>
      </c>
      <c r="F64" s="53">
        <f t="shared" si="6"/>
        <v>636.5</v>
      </c>
      <c r="G64" s="45">
        <f t="shared" si="7"/>
        <v>10820.5</v>
      </c>
    </row>
    <row r="65" spans="1:7" ht="13" x14ac:dyDescent="0.15">
      <c r="A65" s="155" t="s">
        <v>57</v>
      </c>
      <c r="B65" s="155"/>
      <c r="C65" s="155"/>
      <c r="D65" s="55">
        <f t="shared" ca="1" si="4"/>
        <v>44166</v>
      </c>
      <c r="E65" s="54">
        <f t="shared" si="5"/>
        <v>10184</v>
      </c>
      <c r="F65" s="53">
        <f t="shared" si="6"/>
        <v>636.5</v>
      </c>
      <c r="G65" s="45">
        <f t="shared" si="7"/>
        <v>10820.5</v>
      </c>
    </row>
    <row r="66" spans="1:7" ht="13" x14ac:dyDescent="0.15">
      <c r="A66" s="155" t="s">
        <v>58</v>
      </c>
      <c r="B66" s="155"/>
      <c r="C66" s="155"/>
      <c r="D66" s="55">
        <f t="shared" ca="1" si="4"/>
        <v>44166</v>
      </c>
      <c r="E66" s="54">
        <f t="shared" si="5"/>
        <v>10184</v>
      </c>
      <c r="F66" s="53">
        <f t="shared" si="6"/>
        <v>636.5</v>
      </c>
      <c r="G66" s="45">
        <f t="shared" si="7"/>
        <v>10820.5</v>
      </c>
    </row>
    <row r="67" spans="1:7" ht="13" x14ac:dyDescent="0.15">
      <c r="A67" s="155" t="s">
        <v>59</v>
      </c>
      <c r="B67" s="155"/>
      <c r="C67" s="155"/>
      <c r="D67" s="55">
        <f t="shared" ca="1" si="4"/>
        <v>44166</v>
      </c>
      <c r="E67" s="54">
        <f t="shared" si="5"/>
        <v>10184</v>
      </c>
      <c r="F67" s="53">
        <f t="shared" si="6"/>
        <v>636.5</v>
      </c>
      <c r="G67" s="45">
        <f t="shared" si="7"/>
        <v>10820.5</v>
      </c>
    </row>
    <row r="68" spans="1:7" ht="13" x14ac:dyDescent="0.15">
      <c r="A68" s="155" t="s">
        <v>60</v>
      </c>
      <c r="B68" s="155"/>
      <c r="C68" s="155"/>
      <c r="D68" s="55">
        <f t="shared" ca="1" si="4"/>
        <v>44166</v>
      </c>
      <c r="E68" s="54">
        <f t="shared" si="5"/>
        <v>10184</v>
      </c>
      <c r="F68" s="53">
        <f t="shared" si="6"/>
        <v>636.5</v>
      </c>
      <c r="G68" s="45">
        <f t="shared" si="7"/>
        <v>10820.5</v>
      </c>
    </row>
    <row r="69" spans="1:7" ht="13" x14ac:dyDescent="0.15">
      <c r="A69" s="155" t="s">
        <v>61</v>
      </c>
      <c r="B69" s="155"/>
      <c r="C69" s="155"/>
      <c r="D69" s="55">
        <f t="shared" ca="1" si="4"/>
        <v>44166</v>
      </c>
      <c r="E69" s="54">
        <f t="shared" si="5"/>
        <v>10184</v>
      </c>
      <c r="F69" s="53">
        <f t="shared" si="6"/>
        <v>636.5</v>
      </c>
      <c r="G69" s="45">
        <f t="shared" si="7"/>
        <v>10820.5</v>
      </c>
    </row>
    <row r="70" spans="1:7" ht="13" x14ac:dyDescent="0.15">
      <c r="A70" s="155" t="s">
        <v>62</v>
      </c>
      <c r="B70" s="155"/>
      <c r="C70" s="155"/>
      <c r="D70" s="55">
        <f t="shared" ca="1" si="4"/>
        <v>44166</v>
      </c>
      <c r="E70" s="54">
        <f t="shared" si="5"/>
        <v>10184</v>
      </c>
      <c r="F70" s="53">
        <f t="shared" si="6"/>
        <v>636.5</v>
      </c>
      <c r="G70" s="45">
        <f t="shared" si="7"/>
        <v>10820.5</v>
      </c>
    </row>
    <row r="71" spans="1:7" ht="13" x14ac:dyDescent="0.15">
      <c r="A71" s="155" t="s">
        <v>63</v>
      </c>
      <c r="B71" s="155"/>
      <c r="C71" s="155"/>
      <c r="D71" s="55">
        <f t="shared" ca="1" si="4"/>
        <v>44166</v>
      </c>
      <c r="E71" s="54">
        <f t="shared" si="5"/>
        <v>10184</v>
      </c>
      <c r="F71" s="53">
        <f t="shared" si="6"/>
        <v>636.5</v>
      </c>
      <c r="G71" s="45">
        <f t="shared" si="7"/>
        <v>10820.5</v>
      </c>
    </row>
    <row r="72" spans="1:7" ht="13" x14ac:dyDescent="0.15">
      <c r="A72" s="155" t="s">
        <v>64</v>
      </c>
      <c r="B72" s="155"/>
      <c r="C72" s="155"/>
      <c r="D72" s="55">
        <f t="shared" ref="D72:D89" ca="1" si="8">IF($A$47&lt;VALUE(LEFT(A72,2))," ",DATE(YEAR(D71+30),MONTH(D71+30),DAY(D71)))</f>
        <v>44166</v>
      </c>
      <c r="E72" s="54">
        <f t="shared" ref="E72:E89" si="9">IF($A$47&lt;VALUE(LEFT(A72,2))," ",IF($A$47=VALUE(LEFT(A72,2)),$G$43-($E$48*($A$47-1)),E71))</f>
        <v>10184</v>
      </c>
      <c r="F72" s="53">
        <f t="shared" ref="F72:F89" si="10">IF($A$47&lt;VALUE(LEFT(A72,2))," ",IF($A$47=VALUE(LEFT(A72,2)),$G$44-($F$48*($A$47-1)),F71))</f>
        <v>636.5</v>
      </c>
      <c r="G72" s="45">
        <f t="shared" ref="G72:G89" si="11">IF($A$47&lt;VALUE(LEFT(A72,2))," ",SUM(E72:F72))</f>
        <v>10820.5</v>
      </c>
    </row>
    <row r="73" spans="1:7" ht="13" x14ac:dyDescent="0.15">
      <c r="A73" s="155" t="s">
        <v>65</v>
      </c>
      <c r="B73" s="155"/>
      <c r="C73" s="155"/>
      <c r="D73" s="55">
        <f t="shared" ca="1" si="8"/>
        <v>44166</v>
      </c>
      <c r="E73" s="54">
        <f t="shared" si="9"/>
        <v>10184</v>
      </c>
      <c r="F73" s="53">
        <f t="shared" si="10"/>
        <v>636.5</v>
      </c>
      <c r="G73" s="45">
        <f t="shared" si="11"/>
        <v>10820.5</v>
      </c>
    </row>
    <row r="74" spans="1:7" ht="13" x14ac:dyDescent="0.15">
      <c r="A74" s="155" t="s">
        <v>66</v>
      </c>
      <c r="B74" s="155"/>
      <c r="C74" s="155"/>
      <c r="D74" s="55">
        <f t="shared" ca="1" si="8"/>
        <v>44166</v>
      </c>
      <c r="E74" s="54">
        <f t="shared" si="9"/>
        <v>10184</v>
      </c>
      <c r="F74" s="53">
        <f t="shared" si="10"/>
        <v>636.5</v>
      </c>
      <c r="G74" s="45">
        <f t="shared" si="11"/>
        <v>10820.5</v>
      </c>
    </row>
    <row r="75" spans="1:7" ht="13" x14ac:dyDescent="0.15">
      <c r="A75" s="155" t="s">
        <v>67</v>
      </c>
      <c r="B75" s="155"/>
      <c r="C75" s="155"/>
      <c r="D75" s="55">
        <f t="shared" ca="1" si="8"/>
        <v>44166</v>
      </c>
      <c r="E75" s="54">
        <f t="shared" si="9"/>
        <v>10184</v>
      </c>
      <c r="F75" s="53">
        <f t="shared" si="10"/>
        <v>636.5</v>
      </c>
      <c r="G75" s="45">
        <f t="shared" si="11"/>
        <v>10820.5</v>
      </c>
    </row>
    <row r="76" spans="1:7" ht="13" x14ac:dyDescent="0.15">
      <c r="A76" s="155" t="s">
        <v>68</v>
      </c>
      <c r="B76" s="155"/>
      <c r="C76" s="155"/>
      <c r="D76" s="55">
        <f t="shared" ca="1" si="8"/>
        <v>44166</v>
      </c>
      <c r="E76" s="54">
        <f t="shared" si="9"/>
        <v>10184</v>
      </c>
      <c r="F76" s="53">
        <f t="shared" si="10"/>
        <v>636.5</v>
      </c>
      <c r="G76" s="45">
        <f t="shared" si="11"/>
        <v>10820.5</v>
      </c>
    </row>
    <row r="77" spans="1:7" ht="13" x14ac:dyDescent="0.15">
      <c r="A77" s="155" t="s">
        <v>69</v>
      </c>
      <c r="B77" s="155"/>
      <c r="C77" s="155"/>
      <c r="D77" s="55">
        <f t="shared" ca="1" si="8"/>
        <v>44166</v>
      </c>
      <c r="E77" s="54">
        <f t="shared" si="9"/>
        <v>10184</v>
      </c>
      <c r="F77" s="53">
        <f t="shared" si="10"/>
        <v>636.5</v>
      </c>
      <c r="G77" s="45">
        <f t="shared" si="11"/>
        <v>10820.5</v>
      </c>
    </row>
    <row r="78" spans="1:7" ht="13" x14ac:dyDescent="0.15">
      <c r="A78" s="155" t="s">
        <v>70</v>
      </c>
      <c r="B78" s="155"/>
      <c r="C78" s="155"/>
      <c r="D78" s="55">
        <f t="shared" ca="1" si="8"/>
        <v>44166</v>
      </c>
      <c r="E78" s="54">
        <f t="shared" si="9"/>
        <v>10184</v>
      </c>
      <c r="F78" s="53">
        <f t="shared" si="10"/>
        <v>636.5</v>
      </c>
      <c r="G78" s="45">
        <f t="shared" si="11"/>
        <v>10820.5</v>
      </c>
    </row>
    <row r="79" spans="1:7" ht="13" x14ac:dyDescent="0.15">
      <c r="A79" s="155" t="s">
        <v>71</v>
      </c>
      <c r="B79" s="155"/>
      <c r="C79" s="155"/>
      <c r="D79" s="55">
        <f t="shared" ca="1" si="8"/>
        <v>44166</v>
      </c>
      <c r="E79" s="54">
        <f t="shared" si="9"/>
        <v>10184</v>
      </c>
      <c r="F79" s="53">
        <f t="shared" si="10"/>
        <v>636.5</v>
      </c>
      <c r="G79" s="45">
        <f t="shared" si="11"/>
        <v>10820.5</v>
      </c>
    </row>
    <row r="80" spans="1:7" ht="13" x14ac:dyDescent="0.15">
      <c r="A80" s="155" t="s">
        <v>72</v>
      </c>
      <c r="B80" s="155"/>
      <c r="C80" s="155"/>
      <c r="D80" s="55">
        <f t="shared" ca="1" si="8"/>
        <v>44166</v>
      </c>
      <c r="E80" s="54">
        <f t="shared" si="9"/>
        <v>10184</v>
      </c>
      <c r="F80" s="53">
        <f t="shared" si="10"/>
        <v>636.5</v>
      </c>
      <c r="G80" s="45">
        <f t="shared" si="11"/>
        <v>10820.5</v>
      </c>
    </row>
    <row r="81" spans="1:9" ht="13" x14ac:dyDescent="0.15">
      <c r="A81" s="155" t="s">
        <v>73</v>
      </c>
      <c r="B81" s="155"/>
      <c r="C81" s="155"/>
      <c r="D81" s="55">
        <f t="shared" ca="1" si="8"/>
        <v>44166</v>
      </c>
      <c r="E81" s="54">
        <f t="shared" si="9"/>
        <v>10184</v>
      </c>
      <c r="F81" s="53">
        <f t="shared" si="10"/>
        <v>636.5</v>
      </c>
      <c r="G81" s="45">
        <f t="shared" si="11"/>
        <v>10820.5</v>
      </c>
    </row>
    <row r="82" spans="1:9" ht="13" x14ac:dyDescent="0.15">
      <c r="A82" s="155" t="s">
        <v>74</v>
      </c>
      <c r="B82" s="155"/>
      <c r="C82" s="155"/>
      <c r="D82" s="55">
        <f t="shared" ca="1" si="8"/>
        <v>44166</v>
      </c>
      <c r="E82" s="54">
        <f t="shared" si="9"/>
        <v>10184</v>
      </c>
      <c r="F82" s="53">
        <f t="shared" si="10"/>
        <v>636.5</v>
      </c>
      <c r="G82" s="45">
        <f t="shared" si="11"/>
        <v>10820.5</v>
      </c>
    </row>
    <row r="83" spans="1:9" ht="13" x14ac:dyDescent="0.15">
      <c r="A83" s="155" t="s">
        <v>75</v>
      </c>
      <c r="B83" s="155"/>
      <c r="C83" s="155"/>
      <c r="D83" s="55">
        <f t="shared" ca="1" si="8"/>
        <v>44166</v>
      </c>
      <c r="E83" s="54">
        <f t="shared" si="9"/>
        <v>10184</v>
      </c>
      <c r="F83" s="53">
        <f t="shared" si="10"/>
        <v>636.5</v>
      </c>
      <c r="G83" s="45">
        <f t="shared" si="11"/>
        <v>10820.5</v>
      </c>
    </row>
    <row r="84" spans="1:9" ht="13" x14ac:dyDescent="0.15">
      <c r="A84" s="155" t="s">
        <v>76</v>
      </c>
      <c r="B84" s="155"/>
      <c r="C84" s="155"/>
      <c r="D84" s="55">
        <f t="shared" ca="1" si="8"/>
        <v>44166</v>
      </c>
      <c r="E84" s="54">
        <f t="shared" si="9"/>
        <v>10184</v>
      </c>
      <c r="F84" s="53">
        <f t="shared" si="10"/>
        <v>636.5</v>
      </c>
      <c r="G84" s="45">
        <f t="shared" si="11"/>
        <v>10820.5</v>
      </c>
    </row>
    <row r="85" spans="1:9" ht="13" x14ac:dyDescent="0.15">
      <c r="A85" s="155" t="s">
        <v>77</v>
      </c>
      <c r="B85" s="155"/>
      <c r="C85" s="155"/>
      <c r="D85" s="55">
        <f t="shared" ca="1" si="8"/>
        <v>44166</v>
      </c>
      <c r="E85" s="54">
        <f t="shared" si="9"/>
        <v>10184</v>
      </c>
      <c r="F85" s="53">
        <f t="shared" si="10"/>
        <v>636.5</v>
      </c>
      <c r="G85" s="45">
        <f t="shared" si="11"/>
        <v>10820.5</v>
      </c>
    </row>
    <row r="86" spans="1:9" ht="13" x14ac:dyDescent="0.15">
      <c r="A86" s="155" t="s">
        <v>78</v>
      </c>
      <c r="B86" s="155"/>
      <c r="C86" s="155"/>
      <c r="D86" s="55">
        <f t="shared" ca="1" si="8"/>
        <v>44166</v>
      </c>
      <c r="E86" s="54">
        <f t="shared" si="9"/>
        <v>10184</v>
      </c>
      <c r="F86" s="53">
        <f t="shared" si="10"/>
        <v>636.5</v>
      </c>
      <c r="G86" s="45">
        <f t="shared" si="11"/>
        <v>10820.5</v>
      </c>
    </row>
    <row r="87" spans="1:9" ht="13" x14ac:dyDescent="0.15">
      <c r="A87" s="155" t="s">
        <v>79</v>
      </c>
      <c r="B87" s="155"/>
      <c r="C87" s="155"/>
      <c r="D87" s="55">
        <f t="shared" ca="1" si="8"/>
        <v>44166</v>
      </c>
      <c r="E87" s="54">
        <f t="shared" si="9"/>
        <v>10184</v>
      </c>
      <c r="F87" s="53">
        <f t="shared" si="10"/>
        <v>636.5</v>
      </c>
      <c r="G87" s="45">
        <f t="shared" si="11"/>
        <v>10820.5</v>
      </c>
    </row>
    <row r="88" spans="1:9" ht="13" x14ac:dyDescent="0.15">
      <c r="A88" s="155" t="s">
        <v>80</v>
      </c>
      <c r="B88" s="155"/>
      <c r="C88" s="155"/>
      <c r="D88" s="55">
        <f t="shared" ca="1" si="8"/>
        <v>44166</v>
      </c>
      <c r="E88" s="54">
        <f t="shared" si="9"/>
        <v>10184</v>
      </c>
      <c r="F88" s="53">
        <f t="shared" si="10"/>
        <v>636.5</v>
      </c>
      <c r="G88" s="45">
        <f t="shared" si="11"/>
        <v>10820.5</v>
      </c>
    </row>
    <row r="89" spans="1:9" ht="13" x14ac:dyDescent="0.15">
      <c r="A89" s="155" t="s">
        <v>81</v>
      </c>
      <c r="B89" s="155"/>
      <c r="C89" s="155"/>
      <c r="D89" s="55">
        <f t="shared" ca="1" si="8"/>
        <v>44166</v>
      </c>
      <c r="E89" s="54">
        <f t="shared" si="9"/>
        <v>10184</v>
      </c>
      <c r="F89" s="53">
        <f t="shared" si="10"/>
        <v>636.5</v>
      </c>
      <c r="G89" s="45">
        <f t="shared" si="11"/>
        <v>10820.5</v>
      </c>
    </row>
    <row r="90" spans="1:9" ht="13" x14ac:dyDescent="0.15">
      <c r="B90" s="52"/>
      <c r="E90" s="51"/>
      <c r="F90" s="50"/>
      <c r="G90" s="49"/>
    </row>
    <row r="91" spans="1:9" ht="13" x14ac:dyDescent="0.15">
      <c r="A91" s="48" t="s">
        <v>92</v>
      </c>
    </row>
    <row r="92" spans="1:9" ht="13" x14ac:dyDescent="0.15">
      <c r="B92" s="41" t="s">
        <v>93</v>
      </c>
      <c r="F92" s="47">
        <f ca="1">D84</f>
        <v>44166</v>
      </c>
    </row>
    <row r="93" spans="1:9" ht="13" x14ac:dyDescent="0.15">
      <c r="B93" s="41" t="s">
        <v>94</v>
      </c>
      <c r="F93" s="47">
        <f ca="1">D89+30</f>
        <v>44196</v>
      </c>
      <c r="G93" s="46">
        <f>ROUND(((G24+G25)*((100-A33)/100))+(G29*(100-A33)/100),2)</f>
        <v>757435</v>
      </c>
      <c r="I93" s="45"/>
    </row>
    <row r="94" spans="1:9" ht="13" x14ac:dyDescent="0.15">
      <c r="B94" s="41" t="s">
        <v>95</v>
      </c>
    </row>
    <row r="96" spans="1:9" ht="13" x14ac:dyDescent="0.15">
      <c r="A96" s="44" t="s">
        <v>96</v>
      </c>
      <c r="B96" s="43"/>
      <c r="C96" s="43"/>
      <c r="D96" s="43"/>
    </row>
    <row r="97" spans="1:7" ht="13" x14ac:dyDescent="0.15">
      <c r="A97" s="154" t="s">
        <v>97</v>
      </c>
      <c r="B97" s="154"/>
      <c r="C97" s="154"/>
      <c r="D97" s="154"/>
      <c r="E97" s="154"/>
      <c r="F97" s="154"/>
      <c r="G97" s="154"/>
    </row>
    <row r="98" spans="1:7" ht="13" x14ac:dyDescent="0.15">
      <c r="A98" s="43" t="s">
        <v>98</v>
      </c>
      <c r="B98" s="43"/>
      <c r="C98" s="43"/>
      <c r="D98" s="43"/>
    </row>
    <row r="99" spans="1:7" ht="13" x14ac:dyDescent="0.15">
      <c r="A99" s="43" t="s">
        <v>99</v>
      </c>
      <c r="B99" s="43"/>
      <c r="C99" s="43"/>
      <c r="D99" s="43"/>
    </row>
    <row r="100" spans="1:7" ht="13" x14ac:dyDescent="0.15">
      <c r="A100" s="43" t="s">
        <v>100</v>
      </c>
      <c r="B100" s="43"/>
      <c r="C100" s="43"/>
      <c r="D100" s="43"/>
    </row>
    <row r="101" spans="1:7" ht="13" x14ac:dyDescent="0.15">
      <c r="A101" s="127" t="s">
        <v>101</v>
      </c>
      <c r="B101" s="43"/>
      <c r="C101" s="43"/>
      <c r="D101" s="43"/>
    </row>
    <row r="102" spans="1:7" ht="13" x14ac:dyDescent="0.15">
      <c r="A102" s="127" t="s">
        <v>102</v>
      </c>
      <c r="B102" s="43"/>
      <c r="C102" s="43"/>
      <c r="D102" s="43"/>
    </row>
    <row r="103" spans="1:7" ht="13" x14ac:dyDescent="0.15">
      <c r="A103" s="127" t="s">
        <v>103</v>
      </c>
      <c r="B103" s="43"/>
      <c r="C103" s="43"/>
      <c r="D103" s="43"/>
    </row>
    <row r="104" spans="1:7" ht="13" x14ac:dyDescent="0.15">
      <c r="A104" s="127" t="s">
        <v>104</v>
      </c>
      <c r="B104" s="43"/>
      <c r="C104" s="43"/>
      <c r="D104" s="43"/>
    </row>
    <row r="105" spans="1:7" ht="13" x14ac:dyDescent="0.15">
      <c r="A105" s="127" t="s">
        <v>105</v>
      </c>
      <c r="B105" s="43"/>
      <c r="C105" s="43"/>
      <c r="D105" s="43"/>
    </row>
    <row r="106" spans="1:7" ht="13" x14ac:dyDescent="0.15">
      <c r="A106" s="154" t="s">
        <v>106</v>
      </c>
      <c r="B106" s="154"/>
      <c r="C106" s="154"/>
      <c r="D106" s="154"/>
      <c r="E106" s="154"/>
      <c r="F106" s="154"/>
      <c r="G106" s="154"/>
    </row>
    <row r="109" spans="1:7" ht="13" x14ac:dyDescent="0.15">
      <c r="A109" s="41" t="s">
        <v>107</v>
      </c>
      <c r="E109" s="41" t="s">
        <v>108</v>
      </c>
    </row>
    <row r="112" spans="1:7" ht="13" x14ac:dyDescent="0.15">
      <c r="A112" s="42"/>
      <c r="B112" s="42"/>
      <c r="C112" s="42"/>
      <c r="E112" s="42"/>
      <c r="F112" s="42"/>
      <c r="G112" s="42"/>
    </row>
    <row r="113" spans="1:5" ht="13" x14ac:dyDescent="0.15">
      <c r="A113" s="41" t="s">
        <v>109</v>
      </c>
      <c r="E113" s="41" t="s">
        <v>109</v>
      </c>
    </row>
    <row r="114" spans="1:5" ht="13" x14ac:dyDescent="0.15">
      <c r="A114" s="41" t="s">
        <v>110</v>
      </c>
      <c r="E114" s="41" t="s">
        <v>111</v>
      </c>
    </row>
    <row r="117" spans="1:5" ht="13" x14ac:dyDescent="0.15">
      <c r="A117" s="41" t="s">
        <v>112</v>
      </c>
    </row>
    <row r="120" spans="1:5" ht="13" x14ac:dyDescent="0.15">
      <c r="A120" s="42"/>
      <c r="B120" s="42"/>
      <c r="C120" s="42"/>
    </row>
    <row r="121" spans="1:5" ht="13" x14ac:dyDescent="0.15">
      <c r="A121" s="41" t="s">
        <v>109</v>
      </c>
    </row>
    <row r="122" spans="1:5" ht="13" x14ac:dyDescent="0.15">
      <c r="A122" s="41" t="s">
        <v>113</v>
      </c>
    </row>
  </sheetData>
  <mergeCells count="50">
    <mergeCell ref="A89:C89"/>
    <mergeCell ref="A82:C82"/>
    <mergeCell ref="A83:C83"/>
    <mergeCell ref="A84:C84"/>
    <mergeCell ref="A85:C85"/>
    <mergeCell ref="A86:C86"/>
    <mergeCell ref="A87:C87"/>
    <mergeCell ref="A77:C77"/>
    <mergeCell ref="A78:C78"/>
    <mergeCell ref="A79:C79"/>
    <mergeCell ref="A80:C80"/>
    <mergeCell ref="A88:C88"/>
    <mergeCell ref="A81:C81"/>
    <mergeCell ref="A3:G3"/>
    <mergeCell ref="A64:C64"/>
    <mergeCell ref="B47:C47"/>
    <mergeCell ref="A62:C62"/>
    <mergeCell ref="A74:C74"/>
    <mergeCell ref="A76:C76"/>
    <mergeCell ref="A48:C48"/>
    <mergeCell ref="A54:C54"/>
    <mergeCell ref="A57:C57"/>
    <mergeCell ref="A56:C56"/>
    <mergeCell ref="A59:C59"/>
    <mergeCell ref="A52:C52"/>
    <mergeCell ref="A75:C75"/>
    <mergeCell ref="A67:C67"/>
    <mergeCell ref="A63:C63"/>
    <mergeCell ref="A69:C69"/>
    <mergeCell ref="A72:C72"/>
    <mergeCell ref="A73:C73"/>
    <mergeCell ref="A66:C66"/>
    <mergeCell ref="A68:C68"/>
    <mergeCell ref="A71:C71"/>
    <mergeCell ref="A106:G106"/>
    <mergeCell ref="B1:F1"/>
    <mergeCell ref="A60:C60"/>
    <mergeCell ref="A51:C51"/>
    <mergeCell ref="A70:C70"/>
    <mergeCell ref="A50:C50"/>
    <mergeCell ref="A97:G97"/>
    <mergeCell ref="A55:C55"/>
    <mergeCell ref="A65:C65"/>
    <mergeCell ref="F7:G7"/>
    <mergeCell ref="B2:F2"/>
    <mergeCell ref="A53:C53"/>
    <mergeCell ref="A58:C58"/>
    <mergeCell ref="A49:C49"/>
    <mergeCell ref="A61:C61"/>
    <mergeCell ref="F6:G6"/>
  </mergeCells>
  <conditionalFormatting sqref="B11 B25">
    <cfRule type="expression" dxfId="14" priority="1" stopIfTrue="1">
      <formula>G11=0</formula>
    </cfRule>
  </conditionalFormatting>
  <conditionalFormatting sqref="A49:C56">
    <cfRule type="expression" dxfId="13" priority="2" stopIfTrue="1">
      <formula>VALUE(NoDPSchedule)&lt;VALUE(LEFT(A49,1))</formula>
    </cfRule>
  </conditionalFormatting>
  <conditionalFormatting sqref="A57:C89">
    <cfRule type="expression" dxfId="12" priority="3" stopIfTrue="1">
      <formula>VALUE(NoDPSchedule)&lt;VALUE(LEFT(A57,2))</formula>
    </cfRule>
  </conditionalFormatting>
  <conditionalFormatting sqref="G11 G25">
    <cfRule type="expression" dxfId="11" priority="4" stopIfTrue="1">
      <formula>G11=0</formula>
    </cfRule>
  </conditionalFormatting>
  <conditionalFormatting sqref="D4">
    <cfRule type="expression" dxfId="10" priority="5" stopIfTrue="1">
      <formula>G5&lt;=TODAY()</formula>
    </cfRule>
  </conditionalFormatting>
  <printOptions horizontalCentered="1"/>
  <pageMargins left="0.25" right="0.25" top="0.5" bottom="0.5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J142"/>
  <sheetViews>
    <sheetView topLeftCell="A89" workbookViewId="0">
      <selection activeCell="D44" sqref="D44:D103"/>
    </sheetView>
  </sheetViews>
  <sheetFormatPr baseColWidth="10" defaultColWidth="12.33203125" defaultRowHeight="12.75" customHeight="1" x14ac:dyDescent="0.15"/>
  <cols>
    <col min="1" max="1" width="15.1640625" style="41" customWidth="1"/>
    <col min="2" max="5" width="12.33203125" style="41"/>
    <col min="6" max="6" width="38.33203125" style="41" customWidth="1"/>
    <col min="7" max="7" width="18.83203125" style="41" customWidth="1"/>
    <col min="8" max="8" width="13.83203125" style="41" hidden="1" customWidth="1"/>
    <col min="9" max="9" width="13.6640625" style="41" bestFit="1" customWidth="1"/>
    <col min="10" max="16384" width="12.33203125" style="41"/>
  </cols>
  <sheetData>
    <row r="1" spans="1:10" ht="14.25" customHeight="1" thickTop="1" x14ac:dyDescent="0.2">
      <c r="A1" s="83" t="s">
        <v>136</v>
      </c>
      <c r="B1" s="157" t="s">
        <v>0</v>
      </c>
      <c r="C1" s="157"/>
      <c r="D1" s="157"/>
      <c r="E1" s="157"/>
      <c r="F1" s="157"/>
      <c r="G1" s="82"/>
    </row>
    <row r="2" spans="1:10" ht="14.25" customHeight="1" x14ac:dyDescent="0.15">
      <c r="A2" s="81"/>
      <c r="B2" s="158" t="s">
        <v>1</v>
      </c>
      <c r="C2" s="158"/>
      <c r="D2" s="158"/>
      <c r="E2" s="158"/>
      <c r="F2" s="158"/>
      <c r="G2" s="80"/>
    </row>
    <row r="3" spans="1:10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0" ht="13.5" customHeight="1" thickBot="1" x14ac:dyDescent="0.2">
      <c r="A4" s="79">
        <f>IF(A43&lt;=12,12,A43)</f>
        <v>60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ht="13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</row>
    <row r="7" spans="1:10" ht="13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160800</v>
      </c>
      <c r="H11" s="95">
        <f>G10-H12</f>
        <v>1340000</v>
      </c>
      <c r="I11" s="95"/>
    </row>
    <row r="12" spans="1:10" ht="13" hidden="1" x14ac:dyDescent="0.15">
      <c r="A12" s="62">
        <v>0</v>
      </c>
      <c r="B12" s="48" t="s">
        <v>140</v>
      </c>
      <c r="F12" s="72"/>
      <c r="G12" s="45"/>
      <c r="H12" s="95">
        <f>G11+G20</f>
        <v>160800</v>
      </c>
      <c r="I12" s="45"/>
      <c r="J12" s="45"/>
    </row>
    <row r="13" spans="1:10" ht="13" hidden="1" x14ac:dyDescent="0.15">
      <c r="B13" s="41" t="s">
        <v>14</v>
      </c>
      <c r="D13" s="38"/>
      <c r="G13" s="45"/>
      <c r="I13" s="45"/>
      <c r="J13" s="45"/>
    </row>
    <row r="14" spans="1:10" ht="13" hidden="1" x14ac:dyDescent="0.15">
      <c r="B14" s="41" t="s">
        <v>15</v>
      </c>
      <c r="G14" s="45"/>
      <c r="I14" s="45"/>
      <c r="J14" s="45"/>
    </row>
    <row r="15" spans="1:10" ht="13" hidden="1" x14ac:dyDescent="0.15">
      <c r="B15" s="41" t="s">
        <v>16</v>
      </c>
      <c r="G15" s="45"/>
      <c r="I15" s="45"/>
    </row>
    <row r="16" spans="1:10" ht="14" hidden="1" x14ac:dyDescent="0.2">
      <c r="B16" s="41" t="s">
        <v>18</v>
      </c>
      <c r="D16" s="38" t="s">
        <v>120</v>
      </c>
      <c r="E16"/>
      <c r="F16"/>
      <c r="G16" s="45"/>
      <c r="I16" s="45"/>
    </row>
    <row r="17" spans="1:10" ht="14" hidden="1" x14ac:dyDescent="0.2">
      <c r="B17" s="41" t="s">
        <v>19</v>
      </c>
      <c r="D17" s="38"/>
      <c r="E17"/>
      <c r="F17"/>
      <c r="G17" s="45"/>
      <c r="I17" s="45"/>
    </row>
    <row r="18" spans="1:10" ht="13" hidden="1" x14ac:dyDescent="0.15">
      <c r="B18" s="41" t="s">
        <v>20</v>
      </c>
      <c r="G18" s="45"/>
      <c r="H18" s="45"/>
      <c r="I18" s="45"/>
      <c r="J18" s="45"/>
    </row>
    <row r="19" spans="1:10" ht="13" hidden="1" x14ac:dyDescent="0.15">
      <c r="B19" s="41" t="s">
        <v>21</v>
      </c>
      <c r="G19" s="45"/>
      <c r="J19" s="45"/>
    </row>
    <row r="20" spans="1:10" ht="13" hidden="1" x14ac:dyDescent="0.15">
      <c r="B20" s="1" t="s">
        <v>131</v>
      </c>
      <c r="D20" s="22" t="s">
        <v>132</v>
      </c>
      <c r="G20" s="45"/>
      <c r="J20" s="45"/>
    </row>
    <row r="21" spans="1:10" ht="13" hidden="1" x14ac:dyDescent="0.15">
      <c r="B21" s="41" t="s">
        <v>23</v>
      </c>
      <c r="D21" s="22" t="s">
        <v>132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138</v>
      </c>
      <c r="B24" s="70"/>
      <c r="C24" s="67"/>
      <c r="D24" s="67"/>
      <c r="E24" s="67"/>
      <c r="F24" s="65" t="s">
        <v>11</v>
      </c>
      <c r="G24" s="64">
        <f>(SellingPrice-G11)-SUM(G12:G22)</f>
        <v>1340000</v>
      </c>
      <c r="I24" s="45"/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160800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93800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93800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1594600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44075.451322222223</v>
      </c>
      <c r="G31" s="18">
        <v>20000</v>
      </c>
    </row>
    <row r="32" spans="1:10" ht="13.5" customHeight="1" thickTop="1" x14ac:dyDescent="0.15">
      <c r="A32" s="68" t="s">
        <v>142</v>
      </c>
      <c r="B32" s="67"/>
      <c r="C32" s="67"/>
      <c r="D32" s="67"/>
      <c r="E32" s="66"/>
      <c r="F32" s="65" t="s">
        <v>11</v>
      </c>
      <c r="G32" s="64">
        <f>G30-G31</f>
        <v>1574600</v>
      </c>
    </row>
    <row r="33" spans="1:10" ht="13" x14ac:dyDescent="0.15">
      <c r="A33" s="69">
        <v>100</v>
      </c>
    </row>
    <row r="34" spans="1:10" ht="13" x14ac:dyDescent="0.15">
      <c r="A34" s="48" t="s">
        <v>31</v>
      </c>
    </row>
    <row r="35" spans="1:10" ht="13.5" customHeight="1" thickBot="1" x14ac:dyDescent="0.2">
      <c r="A35" s="62">
        <v>10</v>
      </c>
      <c r="B35" s="41" t="str">
        <f>CONCATENATE("Spot Downpayment (" &amp;A35&amp;"% of Selling Price)")</f>
        <v>Spot Downpayment (10% of Selling Price)</v>
      </c>
      <c r="E35" s="51"/>
      <c r="F35" s="50"/>
      <c r="G35" s="45">
        <f>ROUND((SUM(G24:G25)*(A35/100))-(G31),2)</f>
        <v>130080</v>
      </c>
      <c r="H35" s="45"/>
      <c r="I35" s="45"/>
      <c r="J35" s="63"/>
    </row>
    <row r="36" spans="1:10" ht="13.5" customHeight="1" thickTop="1" x14ac:dyDescent="0.15">
      <c r="B36" s="44" t="s">
        <v>143</v>
      </c>
      <c r="E36" s="51"/>
      <c r="F36" s="106">
        <f ca="1">ReservationDate+30</f>
        <v>44105.451322222223</v>
      </c>
      <c r="G36" s="61">
        <f>SUM(G35:G35)</f>
        <v>130080</v>
      </c>
    </row>
    <row r="37" spans="1:10" ht="13" x14ac:dyDescent="0.15">
      <c r="B37" s="44"/>
      <c r="E37" s="51"/>
      <c r="F37" s="50"/>
      <c r="G37" s="85"/>
    </row>
    <row r="38" spans="1:10" ht="13" x14ac:dyDescent="0.15">
      <c r="A38" s="48" t="s">
        <v>144</v>
      </c>
      <c r="B38" s="52"/>
      <c r="E38" s="51"/>
      <c r="F38" s="50"/>
      <c r="G38" s="49"/>
    </row>
    <row r="39" spans="1:10" ht="13" x14ac:dyDescent="0.15">
      <c r="A39" s="62">
        <f>A33-A35</f>
        <v>90</v>
      </c>
      <c r="B39" s="60" t="str">
        <f>CONCATENATE("Balance Remaining (" &amp; A39 &amp;"% of Selling Price)")</f>
        <v>Balance Remaining (90% of Selling Price)</v>
      </c>
      <c r="E39" s="51"/>
      <c r="F39" s="50"/>
      <c r="G39" s="45">
        <f>(SUM(G24:G25)-G35)-G31</f>
        <v>1350720</v>
      </c>
      <c r="I39" s="45"/>
    </row>
    <row r="40" spans="1:10" ht="13.5" customHeight="1" thickBot="1" x14ac:dyDescent="0.2">
      <c r="B40" s="60" t="str">
        <f>IF(LumpOCDate&lt;&gt;"","Other Charges is payable on or before","Other Charges")</f>
        <v>Other Charges</v>
      </c>
      <c r="E40" s="51"/>
      <c r="F40" s="50"/>
      <c r="G40" s="45">
        <f>G29</f>
        <v>93800</v>
      </c>
    </row>
    <row r="41" spans="1:10" ht="13.5" customHeight="1" thickTop="1" x14ac:dyDescent="0.15">
      <c r="B41" s="44" t="str">
        <f>CONCATENATE("Remaining Balance and OC due and payable in " &amp; A43 &amp; " months at 0 intrest")</f>
        <v>Remaining Balance and OC due and payable in 60 months at 0 intrest</v>
      </c>
      <c r="E41" s="51"/>
      <c r="F41" s="50"/>
      <c r="G41" s="61">
        <f>SUM(G39:G40)</f>
        <v>1444520</v>
      </c>
    </row>
    <row r="42" spans="1:10" ht="13" x14ac:dyDescent="0.15">
      <c r="B42" s="60"/>
      <c r="E42" s="51"/>
      <c r="F42" s="50"/>
      <c r="G42" s="49"/>
    </row>
    <row r="43" spans="1:10" ht="25.5" customHeight="1" x14ac:dyDescent="0.15">
      <c r="A43" s="59">
        <v>60</v>
      </c>
      <c r="B43" s="156" t="s">
        <v>36</v>
      </c>
      <c r="C43" s="156"/>
      <c r="D43" s="129" t="s">
        <v>37</v>
      </c>
      <c r="E43" s="58" t="s">
        <v>38</v>
      </c>
      <c r="F43" s="57" t="s">
        <v>27</v>
      </c>
      <c r="G43" s="56" t="s">
        <v>39</v>
      </c>
    </row>
    <row r="44" spans="1:10" ht="13" x14ac:dyDescent="0.15">
      <c r="A44" s="155" t="s">
        <v>40</v>
      </c>
      <c r="B44" s="155"/>
      <c r="C44" s="155"/>
      <c r="D44" s="31">
        <v>44137</v>
      </c>
      <c r="E44" s="54">
        <f>ROUND(G39/A43,2)</f>
        <v>22512</v>
      </c>
      <c r="F44" s="53">
        <f>ROUND(IF(LumpOCDate&lt;&gt;"",IF(D44=LumpOCDate,$G$40,0),$G$40/NoDPSchedule),2)</f>
        <v>1563.33</v>
      </c>
      <c r="G44" s="45">
        <f>SUM(E44:F44)</f>
        <v>24075.33</v>
      </c>
    </row>
    <row r="45" spans="1:10" ht="13" x14ac:dyDescent="0.15">
      <c r="A45" s="155" t="s">
        <v>41</v>
      </c>
      <c r="B45" s="155"/>
      <c r="C45" s="155"/>
      <c r="D45" s="31">
        <v>44167</v>
      </c>
      <c r="E45" s="54">
        <f t="shared" ref="E45:E52" si="0">IF($A$43&lt;VALUE(LEFT(A45,1))," ",IF($A$43=VALUE(LEFT(A45,1)),$G$39-($E$44*($A$43-1)),E44))</f>
        <v>22512</v>
      </c>
      <c r="F45" s="53">
        <f t="shared" ref="F45:F52" si="1">IF($A$43&lt;VALUE(LEFT(A45,1))," ",IF($A$43=VALUE(LEFT(A45,1)),$G$40-($F$44*($A$43-1)),F44))</f>
        <v>1563.33</v>
      </c>
      <c r="G45" s="45">
        <f t="shared" ref="G45:G52" si="2">IF(NoDPSchedule&lt;VALUE(LEFT(A45,1))," ",SUM(E45:F45))</f>
        <v>24075.33</v>
      </c>
    </row>
    <row r="46" spans="1:10" ht="13" x14ac:dyDescent="0.15">
      <c r="A46" s="155" t="s">
        <v>42</v>
      </c>
      <c r="B46" s="155"/>
      <c r="C46" s="155"/>
      <c r="D46" s="31">
        <v>44198</v>
      </c>
      <c r="E46" s="54">
        <f t="shared" si="0"/>
        <v>22512</v>
      </c>
      <c r="F46" s="53">
        <f t="shared" si="1"/>
        <v>1563.33</v>
      </c>
      <c r="G46" s="45">
        <f t="shared" si="2"/>
        <v>24075.33</v>
      </c>
    </row>
    <row r="47" spans="1:10" ht="13" x14ac:dyDescent="0.15">
      <c r="A47" s="155" t="s">
        <v>43</v>
      </c>
      <c r="B47" s="155"/>
      <c r="C47" s="155"/>
      <c r="D47" s="31">
        <v>44229</v>
      </c>
      <c r="E47" s="54">
        <f t="shared" si="0"/>
        <v>22512</v>
      </c>
      <c r="F47" s="53">
        <f t="shared" si="1"/>
        <v>1563.33</v>
      </c>
      <c r="G47" s="45">
        <f t="shared" si="2"/>
        <v>24075.33</v>
      </c>
    </row>
    <row r="48" spans="1:10" ht="13" x14ac:dyDescent="0.15">
      <c r="A48" s="155" t="s">
        <v>44</v>
      </c>
      <c r="B48" s="155"/>
      <c r="C48" s="155"/>
      <c r="D48" s="31">
        <v>44257</v>
      </c>
      <c r="E48" s="54">
        <f t="shared" si="0"/>
        <v>22512</v>
      </c>
      <c r="F48" s="53">
        <f t="shared" si="1"/>
        <v>1563.33</v>
      </c>
      <c r="G48" s="45">
        <f t="shared" si="2"/>
        <v>24075.33</v>
      </c>
    </row>
    <row r="49" spans="1:7" ht="13" x14ac:dyDescent="0.15">
      <c r="A49" s="155" t="s">
        <v>45</v>
      </c>
      <c r="B49" s="155"/>
      <c r="C49" s="155"/>
      <c r="D49" s="31">
        <v>44288</v>
      </c>
      <c r="E49" s="54">
        <f t="shared" si="0"/>
        <v>22512</v>
      </c>
      <c r="F49" s="53">
        <f t="shared" si="1"/>
        <v>1563.33</v>
      </c>
      <c r="G49" s="45">
        <f t="shared" si="2"/>
        <v>24075.33</v>
      </c>
    </row>
    <row r="50" spans="1:7" ht="13" x14ac:dyDescent="0.15">
      <c r="A50" s="155" t="s">
        <v>46</v>
      </c>
      <c r="B50" s="155"/>
      <c r="C50" s="155"/>
      <c r="D50" s="31">
        <v>44318</v>
      </c>
      <c r="E50" s="54">
        <f t="shared" si="0"/>
        <v>22512</v>
      </c>
      <c r="F50" s="53">
        <f t="shared" si="1"/>
        <v>1563.33</v>
      </c>
      <c r="G50" s="45">
        <f t="shared" si="2"/>
        <v>24075.33</v>
      </c>
    </row>
    <row r="51" spans="1:7" ht="13" x14ac:dyDescent="0.15">
      <c r="A51" s="155" t="s">
        <v>47</v>
      </c>
      <c r="B51" s="155"/>
      <c r="C51" s="155"/>
      <c r="D51" s="31">
        <v>44349</v>
      </c>
      <c r="E51" s="54">
        <f t="shared" si="0"/>
        <v>22512</v>
      </c>
      <c r="F51" s="53">
        <f t="shared" si="1"/>
        <v>1563.33</v>
      </c>
      <c r="G51" s="45">
        <f t="shared" si="2"/>
        <v>24075.33</v>
      </c>
    </row>
    <row r="52" spans="1:7" ht="13" x14ac:dyDescent="0.15">
      <c r="A52" s="155" t="s">
        <v>48</v>
      </c>
      <c r="B52" s="155"/>
      <c r="C52" s="155"/>
      <c r="D52" s="31">
        <v>44379</v>
      </c>
      <c r="E52" s="54">
        <f t="shared" si="0"/>
        <v>22512</v>
      </c>
      <c r="F52" s="53">
        <f t="shared" si="1"/>
        <v>1563.33</v>
      </c>
      <c r="G52" s="45">
        <f t="shared" si="2"/>
        <v>24075.33</v>
      </c>
    </row>
    <row r="53" spans="1:7" ht="13" x14ac:dyDescent="0.15">
      <c r="A53" s="155" t="s">
        <v>49</v>
      </c>
      <c r="B53" s="155"/>
      <c r="C53" s="155"/>
      <c r="D53" s="31">
        <v>44410</v>
      </c>
      <c r="E53" s="54">
        <f t="shared" ref="E53:E85" si="3">IF($A$43&lt;VALUE(LEFT(A53,2))," ",IF($A$43=VALUE(LEFT(A53,2)),$G$39-($E$44*($A$43-1)),E52))</f>
        <v>22512</v>
      </c>
      <c r="F53" s="53">
        <f t="shared" ref="F53:F85" si="4">IF($A$43&lt;VALUE(LEFT(A53,2))," ",IF($A$43=VALUE(LEFT(A53,2)),$G$40-($F$44*($A$43-1)),F52))</f>
        <v>1563.33</v>
      </c>
      <c r="G53" s="45">
        <f t="shared" ref="G53:G85" si="5">IF(NoDPSchedule&lt;VALUE(LEFT(A53,2))," ",SUM(E53:F53))</f>
        <v>24075.33</v>
      </c>
    </row>
    <row r="54" spans="1:7" ht="13" x14ac:dyDescent="0.15">
      <c r="A54" s="155" t="s">
        <v>50</v>
      </c>
      <c r="B54" s="155"/>
      <c r="C54" s="155"/>
      <c r="D54" s="31">
        <v>44441</v>
      </c>
      <c r="E54" s="54">
        <f t="shared" si="3"/>
        <v>22512</v>
      </c>
      <c r="F54" s="53">
        <f t="shared" si="4"/>
        <v>1563.33</v>
      </c>
      <c r="G54" s="45">
        <f t="shared" si="5"/>
        <v>24075.33</v>
      </c>
    </row>
    <row r="55" spans="1:7" ht="13" x14ac:dyDescent="0.15">
      <c r="A55" s="155" t="s">
        <v>51</v>
      </c>
      <c r="B55" s="155"/>
      <c r="C55" s="155"/>
      <c r="D55" s="31">
        <v>44471</v>
      </c>
      <c r="E55" s="54">
        <f t="shared" si="3"/>
        <v>22512</v>
      </c>
      <c r="F55" s="53">
        <f t="shared" si="4"/>
        <v>1563.33</v>
      </c>
      <c r="G55" s="45">
        <f t="shared" si="5"/>
        <v>24075.33</v>
      </c>
    </row>
    <row r="56" spans="1:7" ht="13" x14ac:dyDescent="0.15">
      <c r="A56" s="155" t="s">
        <v>52</v>
      </c>
      <c r="B56" s="155"/>
      <c r="C56" s="155"/>
      <c r="D56" s="31">
        <v>44502</v>
      </c>
      <c r="E56" s="54">
        <f t="shared" si="3"/>
        <v>22512</v>
      </c>
      <c r="F56" s="53">
        <f t="shared" si="4"/>
        <v>1563.33</v>
      </c>
      <c r="G56" s="45">
        <f t="shared" si="5"/>
        <v>24075.33</v>
      </c>
    </row>
    <row r="57" spans="1:7" ht="13" x14ac:dyDescent="0.15">
      <c r="A57" s="155" t="s">
        <v>53</v>
      </c>
      <c r="B57" s="155"/>
      <c r="C57" s="155"/>
      <c r="D57" s="31">
        <v>44532</v>
      </c>
      <c r="E57" s="54">
        <f t="shared" si="3"/>
        <v>22512</v>
      </c>
      <c r="F57" s="53">
        <f t="shared" si="4"/>
        <v>1563.33</v>
      </c>
      <c r="G57" s="45">
        <f t="shared" si="5"/>
        <v>24075.33</v>
      </c>
    </row>
    <row r="58" spans="1:7" ht="13" x14ac:dyDescent="0.15">
      <c r="A58" s="155" t="s">
        <v>54</v>
      </c>
      <c r="B58" s="155"/>
      <c r="C58" s="155"/>
      <c r="D58" s="31">
        <v>44563</v>
      </c>
      <c r="E58" s="54">
        <f t="shared" si="3"/>
        <v>22512</v>
      </c>
      <c r="F58" s="53">
        <f t="shared" si="4"/>
        <v>1563.33</v>
      </c>
      <c r="G58" s="45">
        <f t="shared" si="5"/>
        <v>24075.33</v>
      </c>
    </row>
    <row r="59" spans="1:7" ht="13" x14ac:dyDescent="0.15">
      <c r="A59" s="155" t="s">
        <v>55</v>
      </c>
      <c r="B59" s="155"/>
      <c r="C59" s="155"/>
      <c r="D59" s="31">
        <v>44594</v>
      </c>
      <c r="E59" s="54">
        <f t="shared" si="3"/>
        <v>22512</v>
      </c>
      <c r="F59" s="53">
        <f t="shared" si="4"/>
        <v>1563.33</v>
      </c>
      <c r="G59" s="45">
        <f t="shared" si="5"/>
        <v>24075.33</v>
      </c>
    </row>
    <row r="60" spans="1:7" ht="13" x14ac:dyDescent="0.15">
      <c r="A60" s="155" t="s">
        <v>56</v>
      </c>
      <c r="B60" s="155"/>
      <c r="C60" s="155"/>
      <c r="D60" s="31">
        <v>44622</v>
      </c>
      <c r="E60" s="54">
        <f t="shared" si="3"/>
        <v>22512</v>
      </c>
      <c r="F60" s="53">
        <f t="shared" si="4"/>
        <v>1563.33</v>
      </c>
      <c r="G60" s="45">
        <f t="shared" si="5"/>
        <v>24075.33</v>
      </c>
    </row>
    <row r="61" spans="1:7" ht="13" x14ac:dyDescent="0.15">
      <c r="A61" s="155" t="s">
        <v>57</v>
      </c>
      <c r="B61" s="155"/>
      <c r="C61" s="155"/>
      <c r="D61" s="31">
        <v>44653</v>
      </c>
      <c r="E61" s="54">
        <f t="shared" si="3"/>
        <v>22512</v>
      </c>
      <c r="F61" s="53">
        <f t="shared" si="4"/>
        <v>1563.33</v>
      </c>
      <c r="G61" s="45">
        <f t="shared" si="5"/>
        <v>24075.33</v>
      </c>
    </row>
    <row r="62" spans="1:7" ht="13" x14ac:dyDescent="0.15">
      <c r="A62" s="155" t="s">
        <v>58</v>
      </c>
      <c r="B62" s="155"/>
      <c r="C62" s="155"/>
      <c r="D62" s="31">
        <v>44683</v>
      </c>
      <c r="E62" s="54">
        <f t="shared" si="3"/>
        <v>22512</v>
      </c>
      <c r="F62" s="53">
        <f t="shared" si="4"/>
        <v>1563.33</v>
      </c>
      <c r="G62" s="45">
        <f t="shared" si="5"/>
        <v>24075.33</v>
      </c>
    </row>
    <row r="63" spans="1:7" ht="13" x14ac:dyDescent="0.15">
      <c r="A63" s="155" t="s">
        <v>59</v>
      </c>
      <c r="B63" s="155"/>
      <c r="C63" s="155"/>
      <c r="D63" s="31">
        <v>44714</v>
      </c>
      <c r="E63" s="54">
        <f t="shared" si="3"/>
        <v>22512</v>
      </c>
      <c r="F63" s="53">
        <f t="shared" si="4"/>
        <v>1563.33</v>
      </c>
      <c r="G63" s="45">
        <f t="shared" si="5"/>
        <v>24075.33</v>
      </c>
    </row>
    <row r="64" spans="1:7" ht="13" x14ac:dyDescent="0.15">
      <c r="A64" s="155" t="s">
        <v>60</v>
      </c>
      <c r="B64" s="155"/>
      <c r="C64" s="155"/>
      <c r="D64" s="31">
        <v>44744</v>
      </c>
      <c r="E64" s="54">
        <f t="shared" si="3"/>
        <v>22512</v>
      </c>
      <c r="F64" s="53">
        <f t="shared" si="4"/>
        <v>1563.33</v>
      </c>
      <c r="G64" s="45">
        <f t="shared" si="5"/>
        <v>24075.33</v>
      </c>
    </row>
    <row r="65" spans="1:7" ht="13" x14ac:dyDescent="0.15">
      <c r="A65" s="155" t="s">
        <v>61</v>
      </c>
      <c r="B65" s="155"/>
      <c r="C65" s="155"/>
      <c r="D65" s="31">
        <v>44775</v>
      </c>
      <c r="E65" s="54">
        <f t="shared" si="3"/>
        <v>22512</v>
      </c>
      <c r="F65" s="53">
        <f t="shared" si="4"/>
        <v>1563.33</v>
      </c>
      <c r="G65" s="45">
        <f t="shared" si="5"/>
        <v>24075.33</v>
      </c>
    </row>
    <row r="66" spans="1:7" ht="13" x14ac:dyDescent="0.15">
      <c r="A66" s="155" t="s">
        <v>62</v>
      </c>
      <c r="B66" s="155"/>
      <c r="C66" s="155"/>
      <c r="D66" s="31">
        <v>44806</v>
      </c>
      <c r="E66" s="54">
        <f t="shared" si="3"/>
        <v>22512</v>
      </c>
      <c r="F66" s="53">
        <f t="shared" si="4"/>
        <v>1563.33</v>
      </c>
      <c r="G66" s="45">
        <f t="shared" si="5"/>
        <v>24075.33</v>
      </c>
    </row>
    <row r="67" spans="1:7" ht="13" x14ac:dyDescent="0.15">
      <c r="A67" s="155" t="s">
        <v>63</v>
      </c>
      <c r="B67" s="155"/>
      <c r="C67" s="155"/>
      <c r="D67" s="31">
        <v>44836</v>
      </c>
      <c r="E67" s="54">
        <f t="shared" si="3"/>
        <v>22512</v>
      </c>
      <c r="F67" s="53">
        <f t="shared" si="4"/>
        <v>1563.33</v>
      </c>
      <c r="G67" s="45">
        <f t="shared" si="5"/>
        <v>24075.33</v>
      </c>
    </row>
    <row r="68" spans="1:7" ht="13" x14ac:dyDescent="0.15">
      <c r="A68" s="155" t="s">
        <v>64</v>
      </c>
      <c r="B68" s="155"/>
      <c r="C68" s="155"/>
      <c r="D68" s="31">
        <v>44867</v>
      </c>
      <c r="E68" s="54">
        <f t="shared" si="3"/>
        <v>22512</v>
      </c>
      <c r="F68" s="53">
        <f t="shared" si="4"/>
        <v>1563.33</v>
      </c>
      <c r="G68" s="45">
        <f t="shared" si="5"/>
        <v>24075.33</v>
      </c>
    </row>
    <row r="69" spans="1:7" ht="13" x14ac:dyDescent="0.15">
      <c r="A69" s="155" t="s">
        <v>65</v>
      </c>
      <c r="B69" s="155"/>
      <c r="C69" s="155"/>
      <c r="D69" s="31">
        <v>44897</v>
      </c>
      <c r="E69" s="54">
        <f t="shared" si="3"/>
        <v>22512</v>
      </c>
      <c r="F69" s="53">
        <f t="shared" si="4"/>
        <v>1563.33</v>
      </c>
      <c r="G69" s="45">
        <f t="shared" si="5"/>
        <v>24075.33</v>
      </c>
    </row>
    <row r="70" spans="1:7" ht="13" x14ac:dyDescent="0.15">
      <c r="A70" s="155" t="s">
        <v>66</v>
      </c>
      <c r="B70" s="155"/>
      <c r="C70" s="155"/>
      <c r="D70" s="31">
        <v>44928</v>
      </c>
      <c r="E70" s="54">
        <f t="shared" si="3"/>
        <v>22512</v>
      </c>
      <c r="F70" s="53">
        <f t="shared" si="4"/>
        <v>1563.33</v>
      </c>
      <c r="G70" s="45">
        <f t="shared" si="5"/>
        <v>24075.33</v>
      </c>
    </row>
    <row r="71" spans="1:7" ht="13" x14ac:dyDescent="0.15">
      <c r="A71" s="155" t="s">
        <v>67</v>
      </c>
      <c r="B71" s="155"/>
      <c r="C71" s="155"/>
      <c r="D71" s="31">
        <v>44959</v>
      </c>
      <c r="E71" s="54">
        <f t="shared" si="3"/>
        <v>22512</v>
      </c>
      <c r="F71" s="53">
        <f t="shared" si="4"/>
        <v>1563.33</v>
      </c>
      <c r="G71" s="45">
        <f t="shared" si="5"/>
        <v>24075.33</v>
      </c>
    </row>
    <row r="72" spans="1:7" ht="13" x14ac:dyDescent="0.15">
      <c r="A72" s="155" t="s">
        <v>68</v>
      </c>
      <c r="B72" s="155"/>
      <c r="C72" s="155"/>
      <c r="D72" s="31">
        <v>44987</v>
      </c>
      <c r="E72" s="54">
        <f t="shared" si="3"/>
        <v>22512</v>
      </c>
      <c r="F72" s="53">
        <f t="shared" si="4"/>
        <v>1563.33</v>
      </c>
      <c r="G72" s="45">
        <f t="shared" si="5"/>
        <v>24075.33</v>
      </c>
    </row>
    <row r="73" spans="1:7" ht="13" x14ac:dyDescent="0.15">
      <c r="A73" s="155" t="s">
        <v>69</v>
      </c>
      <c r="B73" s="155"/>
      <c r="C73" s="155"/>
      <c r="D73" s="31">
        <v>45018</v>
      </c>
      <c r="E73" s="54">
        <f t="shared" si="3"/>
        <v>22512</v>
      </c>
      <c r="F73" s="53">
        <f t="shared" si="4"/>
        <v>1563.33</v>
      </c>
      <c r="G73" s="45">
        <f t="shared" si="5"/>
        <v>24075.33</v>
      </c>
    </row>
    <row r="74" spans="1:7" ht="13" x14ac:dyDescent="0.15">
      <c r="A74" s="155" t="s">
        <v>70</v>
      </c>
      <c r="B74" s="155"/>
      <c r="C74" s="155"/>
      <c r="D74" s="31">
        <v>45048</v>
      </c>
      <c r="E74" s="54">
        <f t="shared" si="3"/>
        <v>22512</v>
      </c>
      <c r="F74" s="53">
        <f t="shared" si="4"/>
        <v>1563.33</v>
      </c>
      <c r="G74" s="45">
        <f t="shared" si="5"/>
        <v>24075.33</v>
      </c>
    </row>
    <row r="75" spans="1:7" ht="13" x14ac:dyDescent="0.15">
      <c r="A75" s="155" t="s">
        <v>71</v>
      </c>
      <c r="B75" s="155"/>
      <c r="C75" s="155"/>
      <c r="D75" s="31">
        <v>45079</v>
      </c>
      <c r="E75" s="54">
        <f t="shared" si="3"/>
        <v>22512</v>
      </c>
      <c r="F75" s="53">
        <f t="shared" si="4"/>
        <v>1563.33</v>
      </c>
      <c r="G75" s="45">
        <f t="shared" si="5"/>
        <v>24075.33</v>
      </c>
    </row>
    <row r="76" spans="1:7" ht="13" x14ac:dyDescent="0.15">
      <c r="A76" s="155" t="s">
        <v>72</v>
      </c>
      <c r="B76" s="155"/>
      <c r="C76" s="155"/>
      <c r="D76" s="31">
        <v>45109</v>
      </c>
      <c r="E76" s="54">
        <f t="shared" si="3"/>
        <v>22512</v>
      </c>
      <c r="F76" s="53">
        <f t="shared" si="4"/>
        <v>1563.33</v>
      </c>
      <c r="G76" s="45">
        <f t="shared" si="5"/>
        <v>24075.33</v>
      </c>
    </row>
    <row r="77" spans="1:7" ht="13" x14ac:dyDescent="0.15">
      <c r="A77" s="155" t="s">
        <v>73</v>
      </c>
      <c r="B77" s="155"/>
      <c r="C77" s="155"/>
      <c r="D77" s="31">
        <v>45140</v>
      </c>
      <c r="E77" s="54">
        <f t="shared" si="3"/>
        <v>22512</v>
      </c>
      <c r="F77" s="53">
        <f t="shared" si="4"/>
        <v>1563.33</v>
      </c>
      <c r="G77" s="45">
        <f t="shared" si="5"/>
        <v>24075.33</v>
      </c>
    </row>
    <row r="78" spans="1:7" ht="13" x14ac:dyDescent="0.15">
      <c r="A78" s="155" t="s">
        <v>74</v>
      </c>
      <c r="B78" s="155"/>
      <c r="C78" s="155"/>
      <c r="D78" s="31">
        <v>45171</v>
      </c>
      <c r="E78" s="54">
        <f t="shared" si="3"/>
        <v>22512</v>
      </c>
      <c r="F78" s="53">
        <f t="shared" si="4"/>
        <v>1563.33</v>
      </c>
      <c r="G78" s="45">
        <f t="shared" si="5"/>
        <v>24075.33</v>
      </c>
    </row>
    <row r="79" spans="1:7" ht="13" x14ac:dyDescent="0.15">
      <c r="A79" s="155" t="s">
        <v>75</v>
      </c>
      <c r="B79" s="155"/>
      <c r="C79" s="155"/>
      <c r="D79" s="31">
        <v>45201</v>
      </c>
      <c r="E79" s="54">
        <f t="shared" si="3"/>
        <v>22512</v>
      </c>
      <c r="F79" s="53">
        <f t="shared" si="4"/>
        <v>1563.33</v>
      </c>
      <c r="G79" s="45">
        <f t="shared" si="5"/>
        <v>24075.33</v>
      </c>
    </row>
    <row r="80" spans="1:7" ht="13" x14ac:dyDescent="0.15">
      <c r="A80" s="155" t="s">
        <v>76</v>
      </c>
      <c r="B80" s="155"/>
      <c r="C80" s="155"/>
      <c r="D80" s="31">
        <v>45232</v>
      </c>
      <c r="E80" s="54">
        <f t="shared" si="3"/>
        <v>22512</v>
      </c>
      <c r="F80" s="53">
        <f t="shared" si="4"/>
        <v>1563.33</v>
      </c>
      <c r="G80" s="45">
        <f t="shared" si="5"/>
        <v>24075.33</v>
      </c>
    </row>
    <row r="81" spans="1:7" ht="13" x14ac:dyDescent="0.15">
      <c r="A81" s="155" t="s">
        <v>77</v>
      </c>
      <c r="B81" s="155"/>
      <c r="C81" s="155"/>
      <c r="D81" s="31">
        <v>45262</v>
      </c>
      <c r="E81" s="54">
        <f t="shared" si="3"/>
        <v>22512</v>
      </c>
      <c r="F81" s="53">
        <f t="shared" si="4"/>
        <v>1563.33</v>
      </c>
      <c r="G81" s="45">
        <f t="shared" si="5"/>
        <v>24075.33</v>
      </c>
    </row>
    <row r="82" spans="1:7" ht="13" x14ac:dyDescent="0.15">
      <c r="A82" s="155" t="s">
        <v>78</v>
      </c>
      <c r="B82" s="155"/>
      <c r="C82" s="155"/>
      <c r="D82" s="31">
        <v>45293</v>
      </c>
      <c r="E82" s="54">
        <f t="shared" si="3"/>
        <v>22512</v>
      </c>
      <c r="F82" s="53">
        <f t="shared" si="4"/>
        <v>1563.33</v>
      </c>
      <c r="G82" s="45">
        <f t="shared" si="5"/>
        <v>24075.33</v>
      </c>
    </row>
    <row r="83" spans="1:7" ht="13" x14ac:dyDescent="0.15">
      <c r="A83" s="155" t="s">
        <v>79</v>
      </c>
      <c r="B83" s="155"/>
      <c r="C83" s="155"/>
      <c r="D83" s="31">
        <v>45324</v>
      </c>
      <c r="E83" s="54">
        <f t="shared" si="3"/>
        <v>22512</v>
      </c>
      <c r="F83" s="53">
        <f t="shared" si="4"/>
        <v>1563.33</v>
      </c>
      <c r="G83" s="45">
        <f t="shared" si="5"/>
        <v>24075.33</v>
      </c>
    </row>
    <row r="84" spans="1:7" ht="13" x14ac:dyDescent="0.15">
      <c r="A84" s="155" t="s">
        <v>80</v>
      </c>
      <c r="B84" s="155"/>
      <c r="C84" s="155"/>
      <c r="D84" s="31">
        <v>45353</v>
      </c>
      <c r="E84" s="54">
        <f t="shared" si="3"/>
        <v>22512</v>
      </c>
      <c r="F84" s="53">
        <f t="shared" si="4"/>
        <v>1563.33</v>
      </c>
      <c r="G84" s="45">
        <f t="shared" si="5"/>
        <v>24075.33</v>
      </c>
    </row>
    <row r="85" spans="1:7" ht="13" x14ac:dyDescent="0.15">
      <c r="A85" s="155" t="s">
        <v>81</v>
      </c>
      <c r="B85" s="155"/>
      <c r="C85" s="155"/>
      <c r="D85" s="31">
        <v>45384</v>
      </c>
      <c r="E85" s="54">
        <f t="shared" si="3"/>
        <v>22512</v>
      </c>
      <c r="F85" s="53">
        <f t="shared" si="4"/>
        <v>1563.33</v>
      </c>
      <c r="G85" s="45">
        <f t="shared" si="5"/>
        <v>24075.33</v>
      </c>
    </row>
    <row r="86" spans="1:7" ht="13" x14ac:dyDescent="0.15">
      <c r="A86" s="155" t="s">
        <v>82</v>
      </c>
      <c r="B86" s="155"/>
      <c r="C86" s="155"/>
      <c r="D86" s="31">
        <v>45414</v>
      </c>
      <c r="E86" s="54">
        <f t="shared" ref="E86:E91" si="6">IF($A$43&lt;VALUE(LEFT(A86,2))," ",IF($A$43=VALUE(LEFT(A86,2)),$G$39-($E$44*($A$43-1)),E85))</f>
        <v>22512</v>
      </c>
      <c r="F86" s="53">
        <f t="shared" ref="F86:F91" si="7">IF($A$43&lt;VALUE(LEFT(A86,2))," ",IF($A$43=VALUE(LEFT(A86,2)),$G$40-($F$44*($A$43-1)),F85))</f>
        <v>1563.33</v>
      </c>
      <c r="G86" s="45">
        <f t="shared" ref="G86:G91" si="8">IF(NoDPSchedule&lt;VALUE(LEFT(A86,2))," ",SUM(E86:F86))</f>
        <v>24075.33</v>
      </c>
    </row>
    <row r="87" spans="1:7" ht="13" x14ac:dyDescent="0.15">
      <c r="A87" s="155" t="s">
        <v>83</v>
      </c>
      <c r="B87" s="155"/>
      <c r="C87" s="155"/>
      <c r="D87" s="31">
        <v>45445</v>
      </c>
      <c r="E87" s="54">
        <f t="shared" si="6"/>
        <v>22512</v>
      </c>
      <c r="F87" s="53">
        <f t="shared" si="7"/>
        <v>1563.33</v>
      </c>
      <c r="G87" s="45">
        <f t="shared" si="8"/>
        <v>24075.33</v>
      </c>
    </row>
    <row r="88" spans="1:7" ht="13" x14ac:dyDescent="0.15">
      <c r="A88" s="155" t="s">
        <v>84</v>
      </c>
      <c r="B88" s="155"/>
      <c r="C88" s="155"/>
      <c r="D88" s="31">
        <v>45475</v>
      </c>
      <c r="E88" s="54">
        <f t="shared" si="6"/>
        <v>22512</v>
      </c>
      <c r="F88" s="53">
        <f t="shared" si="7"/>
        <v>1563.33</v>
      </c>
      <c r="G88" s="45">
        <f t="shared" si="8"/>
        <v>24075.33</v>
      </c>
    </row>
    <row r="89" spans="1:7" ht="13" x14ac:dyDescent="0.15">
      <c r="A89" s="155" t="s">
        <v>85</v>
      </c>
      <c r="B89" s="155"/>
      <c r="C89" s="155"/>
      <c r="D89" s="31">
        <v>45506</v>
      </c>
      <c r="E89" s="54">
        <f t="shared" si="6"/>
        <v>22512</v>
      </c>
      <c r="F89" s="53">
        <f t="shared" si="7"/>
        <v>1563.33</v>
      </c>
      <c r="G89" s="45">
        <f t="shared" si="8"/>
        <v>24075.33</v>
      </c>
    </row>
    <row r="90" spans="1:7" ht="13" x14ac:dyDescent="0.15">
      <c r="A90" s="155" t="s">
        <v>86</v>
      </c>
      <c r="B90" s="155"/>
      <c r="C90" s="155"/>
      <c r="D90" s="31">
        <v>45537</v>
      </c>
      <c r="E90" s="54">
        <f t="shared" si="6"/>
        <v>22512</v>
      </c>
      <c r="F90" s="53">
        <f t="shared" si="7"/>
        <v>1563.33</v>
      </c>
      <c r="G90" s="45">
        <f t="shared" si="8"/>
        <v>24075.33</v>
      </c>
    </row>
    <row r="91" spans="1:7" ht="13" x14ac:dyDescent="0.15">
      <c r="A91" s="155" t="s">
        <v>87</v>
      </c>
      <c r="B91" s="155"/>
      <c r="C91" s="155"/>
      <c r="D91" s="31">
        <v>45567</v>
      </c>
      <c r="E91" s="54">
        <f t="shared" si="6"/>
        <v>22512</v>
      </c>
      <c r="F91" s="53">
        <f t="shared" si="7"/>
        <v>1563.33</v>
      </c>
      <c r="G91" s="45">
        <f t="shared" si="8"/>
        <v>24075.33</v>
      </c>
    </row>
    <row r="92" spans="1:7" ht="13" x14ac:dyDescent="0.15">
      <c r="A92" s="155" t="s">
        <v>88</v>
      </c>
      <c r="B92" s="155"/>
      <c r="C92" s="155"/>
      <c r="D92" s="31">
        <v>45598</v>
      </c>
      <c r="E92" s="54">
        <f t="shared" ref="E92:E103" si="9">IF($A$43&lt;VALUE(LEFT(A92,2))," ",IF($A$43=VALUE(LEFT(A92,2)),$G$39-($E$44*($A$43-1)),E91))</f>
        <v>22512</v>
      </c>
      <c r="F92" s="53">
        <f t="shared" ref="F92:F103" si="10">IF($A$43&lt;VALUE(LEFT(A92,2))," ",IF($A$43=VALUE(LEFT(A92,2)),$G$40-($F$44*($A$43-1)),F91))</f>
        <v>1563.33</v>
      </c>
      <c r="G92" s="45">
        <f t="shared" ref="G92:G103" si="11">IF(NoDPSchedule&lt;VALUE(LEFT(A92,2))," ",SUM(E92:F92))</f>
        <v>24075.33</v>
      </c>
    </row>
    <row r="93" spans="1:7" ht="13" x14ac:dyDescent="0.15">
      <c r="A93" s="155" t="s">
        <v>89</v>
      </c>
      <c r="B93" s="155"/>
      <c r="C93" s="155"/>
      <c r="D93" s="31">
        <v>45628</v>
      </c>
      <c r="E93" s="54">
        <f t="shared" si="9"/>
        <v>22512</v>
      </c>
      <c r="F93" s="53">
        <f t="shared" si="10"/>
        <v>1563.33</v>
      </c>
      <c r="G93" s="45">
        <f t="shared" si="11"/>
        <v>24075.33</v>
      </c>
    </row>
    <row r="94" spans="1:7" ht="13" x14ac:dyDescent="0.15">
      <c r="A94" s="155" t="s">
        <v>90</v>
      </c>
      <c r="B94" s="155"/>
      <c r="C94" s="155"/>
      <c r="D94" s="31">
        <v>45659</v>
      </c>
      <c r="E94" s="54">
        <f t="shared" si="9"/>
        <v>22512</v>
      </c>
      <c r="F94" s="53">
        <f t="shared" si="10"/>
        <v>1563.33</v>
      </c>
      <c r="G94" s="45">
        <f t="shared" si="11"/>
        <v>24075.33</v>
      </c>
    </row>
    <row r="95" spans="1:7" ht="13" x14ac:dyDescent="0.15">
      <c r="A95" s="155" t="s">
        <v>91</v>
      </c>
      <c r="B95" s="155"/>
      <c r="C95" s="155"/>
      <c r="D95" s="31">
        <v>45690</v>
      </c>
      <c r="E95" s="54">
        <f t="shared" si="9"/>
        <v>22512</v>
      </c>
      <c r="F95" s="53">
        <f t="shared" si="10"/>
        <v>1563.33</v>
      </c>
      <c r="G95" s="45">
        <f t="shared" si="11"/>
        <v>24075.33</v>
      </c>
    </row>
    <row r="96" spans="1:7" ht="13" x14ac:dyDescent="0.15">
      <c r="A96" s="155" t="s">
        <v>123</v>
      </c>
      <c r="B96" s="155"/>
      <c r="C96" s="155"/>
      <c r="D96" s="31">
        <v>45718</v>
      </c>
      <c r="E96" s="54">
        <f t="shared" si="9"/>
        <v>22512</v>
      </c>
      <c r="F96" s="53">
        <f t="shared" si="10"/>
        <v>1563.33</v>
      </c>
      <c r="G96" s="45">
        <f t="shared" si="11"/>
        <v>24075.33</v>
      </c>
    </row>
    <row r="97" spans="1:7" ht="13" x14ac:dyDescent="0.15">
      <c r="A97" s="155" t="s">
        <v>124</v>
      </c>
      <c r="B97" s="155"/>
      <c r="C97" s="155"/>
      <c r="D97" s="31">
        <v>45749</v>
      </c>
      <c r="E97" s="54">
        <f t="shared" si="9"/>
        <v>22512</v>
      </c>
      <c r="F97" s="53">
        <f t="shared" si="10"/>
        <v>1563.33</v>
      </c>
      <c r="G97" s="45">
        <f t="shared" si="11"/>
        <v>24075.33</v>
      </c>
    </row>
    <row r="98" spans="1:7" ht="13" x14ac:dyDescent="0.15">
      <c r="A98" s="155" t="s">
        <v>145</v>
      </c>
      <c r="B98" s="155"/>
      <c r="C98" s="155"/>
      <c r="D98" s="31">
        <v>45779</v>
      </c>
      <c r="E98" s="54">
        <f t="shared" si="9"/>
        <v>22512</v>
      </c>
      <c r="F98" s="53">
        <f t="shared" si="10"/>
        <v>1563.33</v>
      </c>
      <c r="G98" s="45">
        <f t="shared" si="11"/>
        <v>24075.33</v>
      </c>
    </row>
    <row r="99" spans="1:7" ht="13" x14ac:dyDescent="0.15">
      <c r="A99" s="155" t="s">
        <v>146</v>
      </c>
      <c r="B99" s="155"/>
      <c r="C99" s="155"/>
      <c r="D99" s="31">
        <v>45810</v>
      </c>
      <c r="E99" s="54">
        <f t="shared" si="9"/>
        <v>22512</v>
      </c>
      <c r="F99" s="53">
        <f t="shared" si="10"/>
        <v>1563.33</v>
      </c>
      <c r="G99" s="45">
        <f t="shared" si="11"/>
        <v>24075.33</v>
      </c>
    </row>
    <row r="100" spans="1:7" ht="13" x14ac:dyDescent="0.15">
      <c r="A100" s="155" t="s">
        <v>147</v>
      </c>
      <c r="B100" s="155"/>
      <c r="C100" s="155"/>
      <c r="D100" s="31">
        <v>45840</v>
      </c>
      <c r="E100" s="54">
        <f t="shared" si="9"/>
        <v>22512</v>
      </c>
      <c r="F100" s="53">
        <f t="shared" si="10"/>
        <v>1563.33</v>
      </c>
      <c r="G100" s="45">
        <f t="shared" si="11"/>
        <v>24075.33</v>
      </c>
    </row>
    <row r="101" spans="1:7" ht="13" x14ac:dyDescent="0.15">
      <c r="A101" s="155" t="s">
        <v>148</v>
      </c>
      <c r="B101" s="155"/>
      <c r="C101" s="155"/>
      <c r="D101" s="31">
        <v>45871</v>
      </c>
      <c r="E101" s="54">
        <f t="shared" si="9"/>
        <v>22512</v>
      </c>
      <c r="F101" s="53">
        <f t="shared" si="10"/>
        <v>1563.33</v>
      </c>
      <c r="G101" s="45">
        <f t="shared" si="11"/>
        <v>24075.33</v>
      </c>
    </row>
    <row r="102" spans="1:7" ht="13" x14ac:dyDescent="0.15">
      <c r="A102" s="155" t="s">
        <v>149</v>
      </c>
      <c r="B102" s="155"/>
      <c r="C102" s="155"/>
      <c r="D102" s="31">
        <v>45902</v>
      </c>
      <c r="E102" s="54">
        <f t="shared" si="9"/>
        <v>22512</v>
      </c>
      <c r="F102" s="53">
        <f t="shared" si="10"/>
        <v>1563.33</v>
      </c>
      <c r="G102" s="45">
        <f t="shared" si="11"/>
        <v>24075.33</v>
      </c>
    </row>
    <row r="103" spans="1:7" ht="13" x14ac:dyDescent="0.15">
      <c r="A103" s="155" t="s">
        <v>150</v>
      </c>
      <c r="B103" s="155"/>
      <c r="C103" s="155"/>
      <c r="D103" s="31">
        <v>45932</v>
      </c>
      <c r="E103" s="54">
        <f t="shared" si="9"/>
        <v>22512</v>
      </c>
      <c r="F103" s="53">
        <f t="shared" si="10"/>
        <v>1563.5299999999988</v>
      </c>
      <c r="G103" s="45">
        <f t="shared" si="11"/>
        <v>24075.53</v>
      </c>
    </row>
    <row r="104" spans="1:7" ht="13" hidden="1" x14ac:dyDescent="0.15">
      <c r="A104" s="128"/>
      <c r="B104" s="128"/>
      <c r="C104" s="128"/>
      <c r="D104" s="55"/>
      <c r="E104" s="54"/>
      <c r="F104" s="53"/>
      <c r="G104" s="45"/>
    </row>
    <row r="105" spans="1:7" ht="13" hidden="1" x14ac:dyDescent="0.15">
      <c r="A105" s="128"/>
      <c r="B105" s="128"/>
      <c r="C105" s="128"/>
      <c r="D105" s="55"/>
      <c r="E105" s="54"/>
      <c r="F105" s="53"/>
      <c r="G105" s="45"/>
    </row>
    <row r="106" spans="1:7" ht="13" hidden="1" x14ac:dyDescent="0.15">
      <c r="A106" s="128"/>
      <c r="B106" s="128"/>
      <c r="C106" s="128"/>
      <c r="D106" s="55"/>
      <c r="E106" s="54"/>
      <c r="F106" s="53"/>
      <c r="G106" s="45"/>
    </row>
    <row r="107" spans="1:7" ht="13" hidden="1" x14ac:dyDescent="0.15">
      <c r="A107" s="128"/>
      <c r="B107" s="128"/>
      <c r="C107" s="128"/>
      <c r="D107" s="55"/>
      <c r="E107" s="54"/>
      <c r="F107" s="53"/>
      <c r="G107" s="45"/>
    </row>
    <row r="108" spans="1:7" ht="13" hidden="1" x14ac:dyDescent="0.15">
      <c r="A108" s="128"/>
      <c r="B108" s="128"/>
      <c r="C108" s="128"/>
      <c r="D108" s="55"/>
      <c r="E108" s="54"/>
      <c r="F108" s="53"/>
      <c r="G108" s="45"/>
    </row>
    <row r="109" spans="1:7" ht="13" hidden="1" x14ac:dyDescent="0.15">
      <c r="A109" s="128"/>
      <c r="B109" s="128"/>
      <c r="C109" s="128"/>
      <c r="D109" s="55"/>
      <c r="E109" s="54"/>
      <c r="F109" s="53"/>
      <c r="G109" s="45"/>
    </row>
    <row r="110" spans="1:7" ht="13" hidden="1" x14ac:dyDescent="0.15">
      <c r="A110" s="128"/>
      <c r="B110" s="128"/>
      <c r="C110" s="128"/>
      <c r="D110" s="55"/>
      <c r="E110" s="54"/>
      <c r="F110" s="53"/>
      <c r="G110" s="45"/>
    </row>
    <row r="111" spans="1:7" ht="13" hidden="1" x14ac:dyDescent="0.15">
      <c r="A111" s="128"/>
      <c r="B111" s="128"/>
      <c r="C111" s="128"/>
      <c r="D111" s="55"/>
      <c r="E111" s="54"/>
      <c r="F111" s="53"/>
      <c r="G111" s="45"/>
    </row>
    <row r="112" spans="1:7" ht="13" hidden="1" x14ac:dyDescent="0.15">
      <c r="A112" s="128"/>
      <c r="B112" s="128"/>
      <c r="C112" s="128"/>
      <c r="D112" s="55"/>
      <c r="E112" s="54"/>
      <c r="F112" s="53"/>
      <c r="G112" s="45"/>
    </row>
    <row r="113" spans="1:7" ht="13" hidden="1" x14ac:dyDescent="0.15">
      <c r="A113" s="128"/>
      <c r="B113" s="128"/>
      <c r="C113" s="128"/>
      <c r="D113" s="55"/>
      <c r="E113" s="54"/>
      <c r="F113" s="53"/>
      <c r="G113" s="45"/>
    </row>
    <row r="114" spans="1:7" ht="13" hidden="1" x14ac:dyDescent="0.15">
      <c r="A114" s="128"/>
      <c r="B114" s="128"/>
      <c r="C114" s="128"/>
      <c r="D114" s="55"/>
      <c r="E114" s="54"/>
      <c r="F114" s="53"/>
      <c r="G114" s="45"/>
    </row>
    <row r="116" spans="1:7" ht="13" x14ac:dyDescent="0.15">
      <c r="A116" s="44" t="s">
        <v>96</v>
      </c>
      <c r="B116" s="43"/>
      <c r="C116" s="43"/>
      <c r="D116" s="43"/>
    </row>
    <row r="117" spans="1:7" ht="13" x14ac:dyDescent="0.15">
      <c r="A117" s="154" t="s">
        <v>97</v>
      </c>
      <c r="B117" s="154"/>
      <c r="C117" s="154"/>
      <c r="D117" s="154"/>
      <c r="E117" s="154"/>
      <c r="F117" s="154"/>
      <c r="G117" s="154"/>
    </row>
    <row r="118" spans="1:7" ht="13" x14ac:dyDescent="0.15">
      <c r="A118" s="43" t="s">
        <v>98</v>
      </c>
      <c r="B118" s="43"/>
      <c r="C118" s="43"/>
      <c r="D118" s="43"/>
    </row>
    <row r="119" spans="1:7" ht="13" x14ac:dyDescent="0.15">
      <c r="A119" s="43" t="s">
        <v>99</v>
      </c>
      <c r="B119" s="43"/>
      <c r="C119" s="43"/>
      <c r="D119" s="43"/>
    </row>
    <row r="120" spans="1:7" ht="13" x14ac:dyDescent="0.15">
      <c r="A120" s="43" t="s">
        <v>100</v>
      </c>
      <c r="B120" s="43"/>
      <c r="C120" s="43"/>
      <c r="D120" s="43"/>
    </row>
    <row r="121" spans="1:7" ht="13" x14ac:dyDescent="0.15">
      <c r="A121" s="127" t="s">
        <v>101</v>
      </c>
      <c r="B121" s="43"/>
      <c r="C121" s="43"/>
      <c r="D121" s="43"/>
    </row>
    <row r="122" spans="1:7" ht="13" x14ac:dyDescent="0.15">
      <c r="A122" s="127" t="s">
        <v>102</v>
      </c>
      <c r="B122" s="43"/>
      <c r="C122" s="43"/>
      <c r="D122" s="43"/>
    </row>
    <row r="123" spans="1:7" ht="13" x14ac:dyDescent="0.15">
      <c r="A123" s="127" t="s">
        <v>103</v>
      </c>
      <c r="B123" s="43"/>
      <c r="C123" s="43"/>
      <c r="D123" s="43"/>
    </row>
    <row r="124" spans="1:7" ht="13" x14ac:dyDescent="0.15">
      <c r="A124" s="127" t="s">
        <v>104</v>
      </c>
      <c r="B124" s="43"/>
      <c r="C124" s="43"/>
      <c r="D124" s="43"/>
    </row>
    <row r="125" spans="1:7" ht="13" x14ac:dyDescent="0.15">
      <c r="A125" s="127" t="s">
        <v>105</v>
      </c>
      <c r="B125" s="43"/>
      <c r="C125" s="43"/>
      <c r="D125" s="43"/>
    </row>
    <row r="126" spans="1:7" ht="13" x14ac:dyDescent="0.15">
      <c r="A126" s="154" t="s">
        <v>106</v>
      </c>
      <c r="B126" s="154"/>
      <c r="C126" s="154"/>
      <c r="D126" s="154"/>
      <c r="E126" s="154"/>
      <c r="F126" s="154"/>
      <c r="G126" s="154"/>
    </row>
    <row r="129" spans="1:7" ht="13" x14ac:dyDescent="0.15">
      <c r="A129" s="41" t="s">
        <v>107</v>
      </c>
      <c r="E129" s="41" t="s">
        <v>108</v>
      </c>
    </row>
    <row r="132" spans="1:7" ht="13" x14ac:dyDescent="0.15">
      <c r="A132" s="42"/>
      <c r="B132" s="42"/>
      <c r="C132" s="42"/>
      <c r="E132" s="42"/>
      <c r="F132" s="42"/>
      <c r="G132" s="42"/>
    </row>
    <row r="133" spans="1:7" ht="13" x14ac:dyDescent="0.15">
      <c r="A133" s="41" t="s">
        <v>109</v>
      </c>
      <c r="E133" s="41" t="s">
        <v>109</v>
      </c>
    </row>
    <row r="134" spans="1:7" ht="13" x14ac:dyDescent="0.15">
      <c r="A134" s="41" t="s">
        <v>110</v>
      </c>
      <c r="E134" s="41" t="s">
        <v>111</v>
      </c>
    </row>
    <row r="137" spans="1:7" ht="13" x14ac:dyDescent="0.15">
      <c r="A137" s="41" t="s">
        <v>112</v>
      </c>
    </row>
    <row r="140" spans="1:7" ht="13" x14ac:dyDescent="0.15">
      <c r="A140" s="42"/>
      <c r="B140" s="42"/>
      <c r="C140" s="42"/>
    </row>
    <row r="141" spans="1:7" ht="13" x14ac:dyDescent="0.15">
      <c r="A141" s="41" t="s">
        <v>109</v>
      </c>
    </row>
    <row r="142" spans="1:7" ht="13" x14ac:dyDescent="0.15">
      <c r="A142" s="41" t="s">
        <v>113</v>
      </c>
    </row>
  </sheetData>
  <mergeCells count="68">
    <mergeCell ref="A87:C87"/>
    <mergeCell ref="A60:C60"/>
    <mergeCell ref="A75:C75"/>
    <mergeCell ref="B43:C43"/>
    <mergeCell ref="A68:C68"/>
    <mergeCell ref="A51:C51"/>
    <mergeCell ref="A72:C72"/>
    <mergeCell ref="A53:C53"/>
    <mergeCell ref="A62:C62"/>
    <mergeCell ref="A50:C50"/>
    <mergeCell ref="A49:C49"/>
    <mergeCell ref="A64:C64"/>
    <mergeCell ref="A63:C63"/>
    <mergeCell ref="A59:C59"/>
    <mergeCell ref="A70:C70"/>
    <mergeCell ref="A73:C73"/>
    <mergeCell ref="A65:C65"/>
    <mergeCell ref="F7:G7"/>
    <mergeCell ref="A69:C69"/>
    <mergeCell ref="A82:C82"/>
    <mergeCell ref="A86:C86"/>
    <mergeCell ref="A58:C58"/>
    <mergeCell ref="A55:C55"/>
    <mergeCell ref="A117:G117"/>
    <mergeCell ref="A81:C81"/>
    <mergeCell ref="A83:C83"/>
    <mergeCell ref="A78:C78"/>
    <mergeCell ref="A61:C61"/>
    <mergeCell ref="A74:C74"/>
    <mergeCell ref="A76:C76"/>
    <mergeCell ref="A71:C71"/>
    <mergeCell ref="A79:C79"/>
    <mergeCell ref="A91:C91"/>
    <mergeCell ref="A80:C80"/>
    <mergeCell ref="A77:C77"/>
    <mergeCell ref="A88:C88"/>
    <mergeCell ref="A89:C89"/>
    <mergeCell ref="A67:C67"/>
    <mergeCell ref="A66:C66"/>
    <mergeCell ref="A126:G126"/>
    <mergeCell ref="A85:C85"/>
    <mergeCell ref="A84:C84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90:C90"/>
    <mergeCell ref="A3:G3"/>
    <mergeCell ref="B2:F2"/>
    <mergeCell ref="B1:F1"/>
    <mergeCell ref="A48:C48"/>
    <mergeCell ref="A57:C57"/>
    <mergeCell ref="A56:C56"/>
    <mergeCell ref="A47:C47"/>
    <mergeCell ref="A46:C46"/>
    <mergeCell ref="A45:C45"/>
    <mergeCell ref="A44:C44"/>
    <mergeCell ref="A52:C52"/>
    <mergeCell ref="A54:C54"/>
    <mergeCell ref="F6:G6"/>
  </mergeCells>
  <conditionalFormatting sqref="A45:C52">
    <cfRule type="expression" dxfId="9" priority="1" stopIfTrue="1">
      <formula>VALUE(NoDPSchedule)&lt;VALUE(LEFT(A45,1))</formula>
    </cfRule>
  </conditionalFormatting>
  <conditionalFormatting sqref="A53:C114">
    <cfRule type="expression" dxfId="8" priority="2" stopIfTrue="1">
      <formula>VALUE(NoDPSchedule)&lt;VALUE(LEFT(A53,2))</formula>
    </cfRule>
  </conditionalFormatting>
  <conditionalFormatting sqref="G11 G25">
    <cfRule type="expression" dxfId="7" priority="3" stopIfTrue="1">
      <formula>G11=0</formula>
    </cfRule>
  </conditionalFormatting>
  <conditionalFormatting sqref="B11">
    <cfRule type="expression" dxfId="6" priority="4" stopIfTrue="1">
      <formula>G11=0</formula>
    </cfRule>
  </conditionalFormatting>
  <conditionalFormatting sqref="B25">
    <cfRule type="expression" dxfId="5" priority="5" stopIfTrue="1">
      <formula>G25=0</formula>
    </cfRule>
  </conditionalFormatting>
  <printOptions horizontalCentered="1"/>
  <pageMargins left="0.23622047244094491" right="0.23622047244094491" top="0.51181102362204722" bottom="0.51181102362204722" header="0.51181102362204722" footer="0.51181102362204722"/>
  <pageSetup scale="54" orientation="portrait" horizontalDpi="4294967293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opLeftCell="A85" workbookViewId="0">
      <selection activeCell="D44" sqref="D44:D103"/>
    </sheetView>
  </sheetViews>
  <sheetFormatPr baseColWidth="10" defaultColWidth="12.33203125" defaultRowHeight="13" x14ac:dyDescent="0.15"/>
  <cols>
    <col min="1" max="5" width="12.33203125" style="41"/>
    <col min="6" max="6" width="38.1640625" style="41" customWidth="1"/>
    <col min="7" max="7" width="17.6640625" style="41" customWidth="1"/>
    <col min="8" max="9" width="13.6640625" style="41" hidden="1" customWidth="1"/>
    <col min="10" max="10" width="14.1640625" style="41" hidden="1" customWidth="1"/>
    <col min="11" max="16384" width="12.33203125" style="41"/>
  </cols>
  <sheetData>
    <row r="1" spans="1:10" ht="14.25" customHeight="1" thickTop="1" x14ac:dyDescent="0.2">
      <c r="A1" s="83" t="s">
        <v>136</v>
      </c>
      <c r="B1" s="157" t="s">
        <v>0</v>
      </c>
      <c r="C1" s="157"/>
      <c r="D1" s="157"/>
      <c r="E1" s="157"/>
      <c r="F1" s="157"/>
      <c r="G1" s="82"/>
    </row>
    <row r="2" spans="1:10" ht="14.25" customHeight="1" x14ac:dyDescent="0.15">
      <c r="A2" s="81"/>
      <c r="B2" s="158" t="s">
        <v>1</v>
      </c>
      <c r="C2" s="158"/>
      <c r="D2" s="158"/>
      <c r="E2" s="158"/>
      <c r="F2" s="158"/>
      <c r="G2" s="80"/>
    </row>
    <row r="3" spans="1:10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0" ht="13.5" customHeight="1" thickBot="1" x14ac:dyDescent="0.2">
      <c r="A4" s="79">
        <f>IF(A43&lt;=12,12,A43)</f>
        <v>60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</row>
    <row r="7" spans="1:10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</row>
    <row r="8" spans="1:10" ht="12.75" customHeight="1" x14ac:dyDescent="0.15"/>
    <row r="9" spans="1:10" ht="12.75" customHeight="1" x14ac:dyDescent="0.15"/>
    <row r="10" spans="1:10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</row>
    <row r="11" spans="1:10" ht="15" customHeight="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160800</v>
      </c>
      <c r="I11" s="95"/>
    </row>
    <row r="12" spans="1:10" hidden="1" x14ac:dyDescent="0.15">
      <c r="A12" s="62">
        <v>0</v>
      </c>
      <c r="B12" s="48" t="s">
        <v>152</v>
      </c>
      <c r="F12" s="72"/>
      <c r="G12" s="45"/>
      <c r="I12" s="45"/>
      <c r="J12" s="45">
        <f>G11+G20</f>
        <v>160800</v>
      </c>
    </row>
    <row r="13" spans="1:10" hidden="1" x14ac:dyDescent="0.15">
      <c r="B13" s="41" t="s">
        <v>14</v>
      </c>
      <c r="D13" s="38"/>
      <c r="G13" s="45"/>
      <c r="I13" s="45"/>
      <c r="J13" s="45"/>
    </row>
    <row r="14" spans="1:10" hidden="1" x14ac:dyDescent="0.15">
      <c r="B14" s="41" t="s">
        <v>15</v>
      </c>
      <c r="G14" s="45"/>
      <c r="I14" s="45"/>
      <c r="J14" s="45"/>
    </row>
    <row r="15" spans="1:10" hidden="1" x14ac:dyDescent="0.15">
      <c r="B15" s="41" t="s">
        <v>16</v>
      </c>
      <c r="G15" s="45"/>
      <c r="I15" s="45"/>
    </row>
    <row r="16" spans="1:10" ht="14" hidden="1" x14ac:dyDescent="0.2">
      <c r="B16" s="41" t="s">
        <v>18</v>
      </c>
      <c r="D16" s="38" t="s">
        <v>120</v>
      </c>
      <c r="E16"/>
      <c r="F16"/>
      <c r="G16" s="45"/>
      <c r="I16" s="45"/>
      <c r="J16" s="95">
        <f>G10-J12</f>
        <v>1340000</v>
      </c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/>
      <c r="H18" s="45"/>
      <c r="I18" s="45"/>
      <c r="J18" s="45"/>
    </row>
    <row r="19" spans="1:10" hidden="1" x14ac:dyDescent="0.15">
      <c r="B19" s="41" t="s">
        <v>21</v>
      </c>
      <c r="G19" s="45"/>
      <c r="J19" s="45"/>
    </row>
    <row r="20" spans="1:10" hidden="1" x14ac:dyDescent="0.15">
      <c r="B20" s="41" t="s">
        <v>131</v>
      </c>
      <c r="G20" s="45"/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138</v>
      </c>
      <c r="B24" s="70"/>
      <c r="C24" s="67"/>
      <c r="D24" s="67"/>
      <c r="E24" s="67"/>
      <c r="F24" s="65" t="s">
        <v>11</v>
      </c>
      <c r="G24" s="64">
        <f>(G10-G11)-SUM(G12:G22)</f>
        <v>1340000</v>
      </c>
      <c r="I24" s="45"/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160800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93800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93800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1594600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44075.451322222223</v>
      </c>
      <c r="G31" s="18">
        <v>20000</v>
      </c>
    </row>
    <row r="32" spans="1:10" ht="13.5" customHeight="1" thickTop="1" x14ac:dyDescent="0.15">
      <c r="A32" s="68" t="s">
        <v>142</v>
      </c>
      <c r="B32" s="67"/>
      <c r="C32" s="67"/>
      <c r="D32" s="67"/>
      <c r="E32" s="66"/>
      <c r="F32" s="65" t="s">
        <v>11</v>
      </c>
      <c r="G32" s="64">
        <f>G30-G31</f>
        <v>1574600</v>
      </c>
    </row>
    <row r="33" spans="1:10" x14ac:dyDescent="0.15">
      <c r="A33" s="69">
        <v>100</v>
      </c>
    </row>
    <row r="34" spans="1:10" x14ac:dyDescent="0.15">
      <c r="A34" s="48" t="s">
        <v>31</v>
      </c>
    </row>
    <row r="35" spans="1:10" ht="13.5" customHeight="1" thickBot="1" x14ac:dyDescent="0.2">
      <c r="A35" s="62">
        <v>50</v>
      </c>
      <c r="B35" s="41" t="str">
        <f>CONCATENATE("Spot Downpayment (" &amp;A35&amp;"% of Selling Price)")</f>
        <v>Spot Downpayment (50% of Selling Price)</v>
      </c>
      <c r="E35" s="51"/>
      <c r="F35" s="106">
        <f ca="1">F31+30</f>
        <v>44105.451322222223</v>
      </c>
      <c r="G35" s="45">
        <f>ROUND((SUM(G24:G25)*(A35/100))-(G31),2)</f>
        <v>730400</v>
      </c>
      <c r="H35" s="45"/>
      <c r="I35" s="45"/>
      <c r="J35" s="63"/>
    </row>
    <row r="36" spans="1:10" ht="13.5" customHeight="1" thickTop="1" x14ac:dyDescent="0.15">
      <c r="B36" s="44" t="s">
        <v>143</v>
      </c>
      <c r="E36" s="51"/>
      <c r="F36" s="99"/>
      <c r="G36" s="61">
        <f>SUM(G35:G35)</f>
        <v>730400</v>
      </c>
    </row>
    <row r="37" spans="1:10" x14ac:dyDescent="0.15">
      <c r="B37" s="44"/>
      <c r="E37" s="51"/>
      <c r="F37" s="50"/>
      <c r="G37" s="85"/>
    </row>
    <row r="38" spans="1:10" x14ac:dyDescent="0.15">
      <c r="A38" s="48" t="s">
        <v>144</v>
      </c>
      <c r="B38" s="52"/>
      <c r="E38" s="51"/>
      <c r="F38" s="50"/>
      <c r="G38" s="49"/>
    </row>
    <row r="39" spans="1:10" x14ac:dyDescent="0.15">
      <c r="A39" s="62">
        <f>A33-A35</f>
        <v>50</v>
      </c>
      <c r="B39" s="60" t="str">
        <f>CONCATENATE("Balance Remaining (" &amp; A39 &amp;"% of Selling Price)")</f>
        <v>Balance Remaining (50% of Selling Price)</v>
      </c>
      <c r="E39" s="51"/>
      <c r="F39" s="50"/>
      <c r="G39" s="45">
        <f>(SUM(G24:G25)-G35)-G31</f>
        <v>750400</v>
      </c>
      <c r="H39" s="95">
        <f>G40/60</f>
        <v>1563.3333333333333</v>
      </c>
      <c r="I39" s="45"/>
    </row>
    <row r="40" spans="1:10" ht="13.5" customHeight="1" thickBot="1" x14ac:dyDescent="0.2">
      <c r="B40" s="60" t="str">
        <f>IF(LumpOCDate&lt;&gt;"","Other Charges is payable on or before","Other Charges")</f>
        <v>Other Charges</v>
      </c>
      <c r="E40" s="51"/>
      <c r="F40" s="50"/>
      <c r="G40" s="45">
        <f>G29</f>
        <v>93800</v>
      </c>
    </row>
    <row r="41" spans="1:10" ht="13.5" customHeight="1" thickTop="1" x14ac:dyDescent="0.15">
      <c r="B41" s="44" t="str">
        <f>CONCATENATE("Remaining Balance and OC due and payable in " &amp; A43 &amp; " months at 0 intrest")</f>
        <v>Remaining Balance and OC due and payable in 60 months at 0 intrest</v>
      </c>
      <c r="E41" s="51"/>
      <c r="F41" s="50"/>
      <c r="G41" s="61">
        <f>SUM(G39:G40)</f>
        <v>844200</v>
      </c>
      <c r="H41" s="97">
        <f>G41/60</f>
        <v>14070</v>
      </c>
    </row>
    <row r="42" spans="1:10" x14ac:dyDescent="0.15">
      <c r="B42" s="60"/>
      <c r="E42" s="51"/>
      <c r="F42" s="50"/>
      <c r="G42" s="49"/>
    </row>
    <row r="43" spans="1:10" ht="25.5" customHeight="1" x14ac:dyDescent="0.15">
      <c r="A43" s="59">
        <v>60</v>
      </c>
      <c r="B43" s="156" t="s">
        <v>36</v>
      </c>
      <c r="C43" s="156"/>
      <c r="D43" s="129" t="s">
        <v>37</v>
      </c>
      <c r="E43" s="58" t="s">
        <v>38</v>
      </c>
      <c r="F43" s="57" t="s">
        <v>27</v>
      </c>
      <c r="G43" s="56" t="s">
        <v>39</v>
      </c>
    </row>
    <row r="44" spans="1:10" x14ac:dyDescent="0.15">
      <c r="A44" s="155" t="s">
        <v>40</v>
      </c>
      <c r="B44" s="155"/>
      <c r="C44" s="155"/>
      <c r="D44" s="31">
        <v>44137</v>
      </c>
      <c r="E44" s="54">
        <f>G44-F44</f>
        <v>12506.666666666666</v>
      </c>
      <c r="F44" s="53">
        <f>H39</f>
        <v>1563.3333333333333</v>
      </c>
      <c r="G44" s="45">
        <f>H41</f>
        <v>14070</v>
      </c>
      <c r="H44" s="95">
        <f>G44*59</f>
        <v>830130</v>
      </c>
      <c r="I44" s="45">
        <f>SUM(F44:F102)</f>
        <v>92236.666666666628</v>
      </c>
    </row>
    <row r="45" spans="1:10" x14ac:dyDescent="0.15">
      <c r="A45" s="155" t="s">
        <v>41</v>
      </c>
      <c r="B45" s="155"/>
      <c r="C45" s="155"/>
      <c r="D45" s="31">
        <v>44167</v>
      </c>
      <c r="E45" s="54">
        <f t="shared" ref="E45:E52" si="0">IF($A$43&lt;VALUE(LEFT(A45,1))," ",IF($A$43=VALUE(LEFT(A45,1)),$G$39-($E$44*($A$43-1)),E44))</f>
        <v>12506.666666666666</v>
      </c>
      <c r="F45" s="53">
        <f t="shared" ref="F45:F52" si="1">IF($A$43&lt;VALUE(LEFT(A45,1))," ",IF($A$43=VALUE(LEFT(A45,1)),$G$40-($F$44*($A$43-1)),F44))</f>
        <v>1563.3333333333333</v>
      </c>
      <c r="G45" s="45">
        <f t="shared" ref="G45:G52" si="2">IF(NoDPSchedule&lt;VALUE(LEFT(A45,1))," ",SUM(E45:F45))</f>
        <v>14070</v>
      </c>
      <c r="H45" s="95">
        <f>G41-H44</f>
        <v>14070</v>
      </c>
    </row>
    <row r="46" spans="1:10" x14ac:dyDescent="0.15">
      <c r="A46" s="155" t="s">
        <v>42</v>
      </c>
      <c r="B46" s="155"/>
      <c r="C46" s="155"/>
      <c r="D46" s="31">
        <v>44198</v>
      </c>
      <c r="E46" s="54">
        <f t="shared" si="0"/>
        <v>12506.666666666666</v>
      </c>
      <c r="F46" s="53">
        <f t="shared" si="1"/>
        <v>1563.3333333333333</v>
      </c>
      <c r="G46" s="45">
        <f t="shared" si="2"/>
        <v>14070</v>
      </c>
    </row>
    <row r="47" spans="1:10" x14ac:dyDescent="0.15">
      <c r="A47" s="155" t="s">
        <v>43</v>
      </c>
      <c r="B47" s="155"/>
      <c r="C47" s="155"/>
      <c r="D47" s="31">
        <v>44229</v>
      </c>
      <c r="E47" s="54">
        <f t="shared" si="0"/>
        <v>12506.666666666666</v>
      </c>
      <c r="F47" s="53">
        <f t="shared" si="1"/>
        <v>1563.3333333333333</v>
      </c>
      <c r="G47" s="45">
        <f t="shared" si="2"/>
        <v>14070</v>
      </c>
    </row>
    <row r="48" spans="1:10" x14ac:dyDescent="0.15">
      <c r="A48" s="155" t="s">
        <v>44</v>
      </c>
      <c r="B48" s="155"/>
      <c r="C48" s="155"/>
      <c r="D48" s="31">
        <v>44257</v>
      </c>
      <c r="E48" s="54">
        <f t="shared" si="0"/>
        <v>12506.666666666666</v>
      </c>
      <c r="F48" s="53">
        <f t="shared" si="1"/>
        <v>1563.3333333333333</v>
      </c>
      <c r="G48" s="45">
        <f t="shared" si="2"/>
        <v>14070</v>
      </c>
    </row>
    <row r="49" spans="1:7" x14ac:dyDescent="0.15">
      <c r="A49" s="155" t="s">
        <v>45</v>
      </c>
      <c r="B49" s="155"/>
      <c r="C49" s="155"/>
      <c r="D49" s="31">
        <v>44288</v>
      </c>
      <c r="E49" s="54">
        <f t="shared" si="0"/>
        <v>12506.666666666666</v>
      </c>
      <c r="F49" s="53">
        <f t="shared" si="1"/>
        <v>1563.3333333333333</v>
      </c>
      <c r="G49" s="45">
        <f t="shared" si="2"/>
        <v>14070</v>
      </c>
    </row>
    <row r="50" spans="1:7" x14ac:dyDescent="0.15">
      <c r="A50" s="155" t="s">
        <v>46</v>
      </c>
      <c r="B50" s="155"/>
      <c r="C50" s="155"/>
      <c r="D50" s="31">
        <v>44318</v>
      </c>
      <c r="E50" s="54">
        <f t="shared" si="0"/>
        <v>12506.666666666666</v>
      </c>
      <c r="F50" s="53">
        <f t="shared" si="1"/>
        <v>1563.3333333333333</v>
      </c>
      <c r="G50" s="45">
        <f t="shared" si="2"/>
        <v>14070</v>
      </c>
    </row>
    <row r="51" spans="1:7" x14ac:dyDescent="0.15">
      <c r="A51" s="155" t="s">
        <v>47</v>
      </c>
      <c r="B51" s="155"/>
      <c r="C51" s="155"/>
      <c r="D51" s="31">
        <v>44349</v>
      </c>
      <c r="E51" s="54">
        <f t="shared" si="0"/>
        <v>12506.666666666666</v>
      </c>
      <c r="F51" s="53">
        <f t="shared" si="1"/>
        <v>1563.3333333333333</v>
      </c>
      <c r="G51" s="45">
        <f t="shared" si="2"/>
        <v>14070</v>
      </c>
    </row>
    <row r="52" spans="1:7" x14ac:dyDescent="0.15">
      <c r="A52" s="155" t="s">
        <v>48</v>
      </c>
      <c r="B52" s="155"/>
      <c r="C52" s="155"/>
      <c r="D52" s="31">
        <v>44379</v>
      </c>
      <c r="E52" s="54">
        <f t="shared" si="0"/>
        <v>12506.666666666666</v>
      </c>
      <c r="F52" s="53">
        <f t="shared" si="1"/>
        <v>1563.3333333333333</v>
      </c>
      <c r="G52" s="45">
        <f t="shared" si="2"/>
        <v>14070</v>
      </c>
    </row>
    <row r="53" spans="1:7" x14ac:dyDescent="0.15">
      <c r="A53" s="155" t="s">
        <v>49</v>
      </c>
      <c r="B53" s="155"/>
      <c r="C53" s="155"/>
      <c r="D53" s="31">
        <v>44410</v>
      </c>
      <c r="E53" s="54">
        <f t="shared" ref="E53:E102" si="3">IF($A$43&lt;VALUE(LEFT(A53,2))," ",IF($A$43=VALUE(LEFT(A53,2)),$G$39-($E$44*($A$43-1)),E52))</f>
        <v>12506.666666666666</v>
      </c>
      <c r="F53" s="53">
        <f t="shared" ref="F53:F103" si="4">IF($A$43&lt;VALUE(LEFT(A53,2))," ",IF($A$43=VALUE(LEFT(A53,2)),$G$40-($F$44*($A$43-1)),F52))</f>
        <v>1563.3333333333333</v>
      </c>
      <c r="G53" s="45">
        <f t="shared" ref="G53:G116" si="5">IF(NoDPSchedule&lt;VALUE(LEFT(A53,2))," ",SUM(E53:F53))</f>
        <v>14070</v>
      </c>
    </row>
    <row r="54" spans="1:7" x14ac:dyDescent="0.15">
      <c r="A54" s="155" t="s">
        <v>50</v>
      </c>
      <c r="B54" s="155"/>
      <c r="C54" s="155"/>
      <c r="D54" s="31">
        <v>44441</v>
      </c>
      <c r="E54" s="54">
        <f t="shared" si="3"/>
        <v>12506.666666666666</v>
      </c>
      <c r="F54" s="53">
        <f t="shared" si="4"/>
        <v>1563.3333333333333</v>
      </c>
      <c r="G54" s="45">
        <f t="shared" si="5"/>
        <v>14070</v>
      </c>
    </row>
    <row r="55" spans="1:7" x14ac:dyDescent="0.15">
      <c r="A55" s="155" t="s">
        <v>51</v>
      </c>
      <c r="B55" s="155"/>
      <c r="C55" s="155"/>
      <c r="D55" s="31">
        <v>44471</v>
      </c>
      <c r="E55" s="54">
        <f t="shared" si="3"/>
        <v>12506.666666666666</v>
      </c>
      <c r="F55" s="53">
        <f t="shared" si="4"/>
        <v>1563.3333333333333</v>
      </c>
      <c r="G55" s="45">
        <f t="shared" si="5"/>
        <v>14070</v>
      </c>
    </row>
    <row r="56" spans="1:7" x14ac:dyDescent="0.15">
      <c r="A56" s="155" t="s">
        <v>52</v>
      </c>
      <c r="B56" s="155"/>
      <c r="C56" s="155"/>
      <c r="D56" s="31">
        <v>44502</v>
      </c>
      <c r="E56" s="54">
        <f t="shared" si="3"/>
        <v>12506.666666666666</v>
      </c>
      <c r="F56" s="53">
        <f t="shared" si="4"/>
        <v>1563.3333333333333</v>
      </c>
      <c r="G56" s="45">
        <f t="shared" si="5"/>
        <v>14070</v>
      </c>
    </row>
    <row r="57" spans="1:7" x14ac:dyDescent="0.15">
      <c r="A57" s="155" t="s">
        <v>53</v>
      </c>
      <c r="B57" s="155"/>
      <c r="C57" s="155"/>
      <c r="D57" s="31">
        <v>44532</v>
      </c>
      <c r="E57" s="54">
        <f t="shared" si="3"/>
        <v>12506.666666666666</v>
      </c>
      <c r="F57" s="53">
        <f t="shared" si="4"/>
        <v>1563.3333333333333</v>
      </c>
      <c r="G57" s="45">
        <f t="shared" si="5"/>
        <v>14070</v>
      </c>
    </row>
    <row r="58" spans="1:7" x14ac:dyDescent="0.15">
      <c r="A58" s="155" t="s">
        <v>54</v>
      </c>
      <c r="B58" s="155"/>
      <c r="C58" s="155"/>
      <c r="D58" s="31">
        <v>44563</v>
      </c>
      <c r="E58" s="54">
        <f t="shared" si="3"/>
        <v>12506.666666666666</v>
      </c>
      <c r="F58" s="53">
        <f t="shared" si="4"/>
        <v>1563.3333333333333</v>
      </c>
      <c r="G58" s="45">
        <f t="shared" si="5"/>
        <v>14070</v>
      </c>
    </row>
    <row r="59" spans="1:7" x14ac:dyDescent="0.15">
      <c r="A59" s="155" t="s">
        <v>55</v>
      </c>
      <c r="B59" s="155"/>
      <c r="C59" s="155"/>
      <c r="D59" s="31">
        <v>44594</v>
      </c>
      <c r="E59" s="54">
        <f t="shared" si="3"/>
        <v>12506.666666666666</v>
      </c>
      <c r="F59" s="53">
        <f t="shared" si="4"/>
        <v>1563.3333333333333</v>
      </c>
      <c r="G59" s="45">
        <f t="shared" si="5"/>
        <v>14070</v>
      </c>
    </row>
    <row r="60" spans="1:7" x14ac:dyDescent="0.15">
      <c r="A60" s="155" t="s">
        <v>56</v>
      </c>
      <c r="B60" s="155"/>
      <c r="C60" s="155"/>
      <c r="D60" s="31">
        <v>44622</v>
      </c>
      <c r="E60" s="54">
        <f t="shared" si="3"/>
        <v>12506.666666666666</v>
      </c>
      <c r="F60" s="53">
        <f t="shared" si="4"/>
        <v>1563.3333333333333</v>
      </c>
      <c r="G60" s="45">
        <f t="shared" si="5"/>
        <v>14070</v>
      </c>
    </row>
    <row r="61" spans="1:7" x14ac:dyDescent="0.15">
      <c r="A61" s="155" t="s">
        <v>57</v>
      </c>
      <c r="B61" s="155"/>
      <c r="C61" s="155"/>
      <c r="D61" s="31">
        <v>44653</v>
      </c>
      <c r="E61" s="54">
        <f t="shared" si="3"/>
        <v>12506.666666666666</v>
      </c>
      <c r="F61" s="53">
        <f t="shared" si="4"/>
        <v>1563.3333333333333</v>
      </c>
      <c r="G61" s="45">
        <f t="shared" si="5"/>
        <v>14070</v>
      </c>
    </row>
    <row r="62" spans="1:7" x14ac:dyDescent="0.15">
      <c r="A62" s="155" t="s">
        <v>58</v>
      </c>
      <c r="B62" s="155"/>
      <c r="C62" s="155"/>
      <c r="D62" s="31">
        <v>44683</v>
      </c>
      <c r="E62" s="54">
        <f t="shared" si="3"/>
        <v>12506.666666666666</v>
      </c>
      <c r="F62" s="53">
        <f t="shared" si="4"/>
        <v>1563.3333333333333</v>
      </c>
      <c r="G62" s="45">
        <f t="shared" si="5"/>
        <v>14070</v>
      </c>
    </row>
    <row r="63" spans="1:7" x14ac:dyDescent="0.15">
      <c r="A63" s="155" t="s">
        <v>59</v>
      </c>
      <c r="B63" s="155"/>
      <c r="C63" s="155"/>
      <c r="D63" s="31">
        <v>44714</v>
      </c>
      <c r="E63" s="54">
        <f t="shared" si="3"/>
        <v>12506.666666666666</v>
      </c>
      <c r="F63" s="53">
        <f t="shared" si="4"/>
        <v>1563.3333333333333</v>
      </c>
      <c r="G63" s="45">
        <f t="shared" si="5"/>
        <v>14070</v>
      </c>
    </row>
    <row r="64" spans="1:7" x14ac:dyDescent="0.15">
      <c r="A64" s="155" t="s">
        <v>60</v>
      </c>
      <c r="B64" s="155"/>
      <c r="C64" s="155"/>
      <c r="D64" s="31">
        <v>44744</v>
      </c>
      <c r="E64" s="54">
        <f t="shared" si="3"/>
        <v>12506.666666666666</v>
      </c>
      <c r="F64" s="53">
        <f t="shared" si="4"/>
        <v>1563.3333333333333</v>
      </c>
      <c r="G64" s="45">
        <f t="shared" si="5"/>
        <v>14070</v>
      </c>
    </row>
    <row r="65" spans="1:7" x14ac:dyDescent="0.15">
      <c r="A65" s="155" t="s">
        <v>61</v>
      </c>
      <c r="B65" s="155"/>
      <c r="C65" s="155"/>
      <c r="D65" s="31">
        <v>44775</v>
      </c>
      <c r="E65" s="54">
        <f t="shared" si="3"/>
        <v>12506.666666666666</v>
      </c>
      <c r="F65" s="53">
        <f t="shared" si="4"/>
        <v>1563.3333333333333</v>
      </c>
      <c r="G65" s="45">
        <f t="shared" si="5"/>
        <v>14070</v>
      </c>
    </row>
    <row r="66" spans="1:7" x14ac:dyDescent="0.15">
      <c r="A66" s="155" t="s">
        <v>62</v>
      </c>
      <c r="B66" s="155"/>
      <c r="C66" s="155"/>
      <c r="D66" s="31">
        <v>44806</v>
      </c>
      <c r="E66" s="54">
        <f t="shared" si="3"/>
        <v>12506.666666666666</v>
      </c>
      <c r="F66" s="53">
        <f t="shared" si="4"/>
        <v>1563.3333333333333</v>
      </c>
      <c r="G66" s="45">
        <f t="shared" si="5"/>
        <v>14070</v>
      </c>
    </row>
    <row r="67" spans="1:7" x14ac:dyDescent="0.15">
      <c r="A67" s="155" t="s">
        <v>63</v>
      </c>
      <c r="B67" s="155"/>
      <c r="C67" s="155"/>
      <c r="D67" s="31">
        <v>44836</v>
      </c>
      <c r="E67" s="54">
        <f t="shared" si="3"/>
        <v>12506.666666666666</v>
      </c>
      <c r="F67" s="53">
        <f t="shared" si="4"/>
        <v>1563.3333333333333</v>
      </c>
      <c r="G67" s="45">
        <f t="shared" si="5"/>
        <v>14070</v>
      </c>
    </row>
    <row r="68" spans="1:7" x14ac:dyDescent="0.15">
      <c r="A68" s="155" t="s">
        <v>64</v>
      </c>
      <c r="B68" s="155"/>
      <c r="C68" s="155"/>
      <c r="D68" s="31">
        <v>44867</v>
      </c>
      <c r="E68" s="54">
        <f t="shared" si="3"/>
        <v>12506.666666666666</v>
      </c>
      <c r="F68" s="53">
        <f t="shared" si="4"/>
        <v>1563.3333333333333</v>
      </c>
      <c r="G68" s="45">
        <f t="shared" si="5"/>
        <v>14070</v>
      </c>
    </row>
    <row r="69" spans="1:7" x14ac:dyDescent="0.15">
      <c r="A69" s="155" t="s">
        <v>65</v>
      </c>
      <c r="B69" s="155"/>
      <c r="C69" s="155"/>
      <c r="D69" s="31">
        <v>44897</v>
      </c>
      <c r="E69" s="54">
        <f t="shared" si="3"/>
        <v>12506.666666666666</v>
      </c>
      <c r="F69" s="53">
        <f t="shared" si="4"/>
        <v>1563.3333333333333</v>
      </c>
      <c r="G69" s="45">
        <f t="shared" si="5"/>
        <v>14070</v>
      </c>
    </row>
    <row r="70" spans="1:7" x14ac:dyDescent="0.15">
      <c r="A70" s="155" t="s">
        <v>66</v>
      </c>
      <c r="B70" s="155"/>
      <c r="C70" s="155"/>
      <c r="D70" s="31">
        <v>44928</v>
      </c>
      <c r="E70" s="54">
        <f t="shared" si="3"/>
        <v>12506.666666666666</v>
      </c>
      <c r="F70" s="53">
        <f t="shared" si="4"/>
        <v>1563.3333333333333</v>
      </c>
      <c r="G70" s="45">
        <f t="shared" si="5"/>
        <v>14070</v>
      </c>
    </row>
    <row r="71" spans="1:7" x14ac:dyDescent="0.15">
      <c r="A71" s="155" t="s">
        <v>67</v>
      </c>
      <c r="B71" s="155"/>
      <c r="C71" s="155"/>
      <c r="D71" s="31">
        <v>44959</v>
      </c>
      <c r="E71" s="54">
        <f t="shared" si="3"/>
        <v>12506.666666666666</v>
      </c>
      <c r="F71" s="53">
        <f t="shared" si="4"/>
        <v>1563.3333333333333</v>
      </c>
      <c r="G71" s="45">
        <f t="shared" si="5"/>
        <v>14070</v>
      </c>
    </row>
    <row r="72" spans="1:7" x14ac:dyDescent="0.15">
      <c r="A72" s="155" t="s">
        <v>68</v>
      </c>
      <c r="B72" s="155"/>
      <c r="C72" s="155"/>
      <c r="D72" s="31">
        <v>44987</v>
      </c>
      <c r="E72" s="54">
        <f t="shared" si="3"/>
        <v>12506.666666666666</v>
      </c>
      <c r="F72" s="53">
        <f t="shared" si="4"/>
        <v>1563.3333333333333</v>
      </c>
      <c r="G72" s="45">
        <f t="shared" si="5"/>
        <v>14070</v>
      </c>
    </row>
    <row r="73" spans="1:7" x14ac:dyDescent="0.15">
      <c r="A73" s="155" t="s">
        <v>69</v>
      </c>
      <c r="B73" s="155"/>
      <c r="C73" s="155"/>
      <c r="D73" s="31">
        <v>45018</v>
      </c>
      <c r="E73" s="54">
        <f t="shared" si="3"/>
        <v>12506.666666666666</v>
      </c>
      <c r="F73" s="53">
        <f t="shared" si="4"/>
        <v>1563.3333333333333</v>
      </c>
      <c r="G73" s="45">
        <f t="shared" si="5"/>
        <v>14070</v>
      </c>
    </row>
    <row r="74" spans="1:7" x14ac:dyDescent="0.15">
      <c r="A74" s="155" t="s">
        <v>70</v>
      </c>
      <c r="B74" s="155"/>
      <c r="C74" s="155"/>
      <c r="D74" s="31">
        <v>45048</v>
      </c>
      <c r="E74" s="54">
        <f t="shared" si="3"/>
        <v>12506.666666666666</v>
      </c>
      <c r="F74" s="53">
        <f t="shared" si="4"/>
        <v>1563.3333333333333</v>
      </c>
      <c r="G74" s="45">
        <f t="shared" si="5"/>
        <v>14070</v>
      </c>
    </row>
    <row r="75" spans="1:7" x14ac:dyDescent="0.15">
      <c r="A75" s="155" t="s">
        <v>71</v>
      </c>
      <c r="B75" s="155"/>
      <c r="C75" s="155"/>
      <c r="D75" s="31">
        <v>45079</v>
      </c>
      <c r="E75" s="54">
        <f t="shared" si="3"/>
        <v>12506.666666666666</v>
      </c>
      <c r="F75" s="53">
        <f t="shared" si="4"/>
        <v>1563.3333333333333</v>
      </c>
      <c r="G75" s="45">
        <f t="shared" si="5"/>
        <v>14070</v>
      </c>
    </row>
    <row r="76" spans="1:7" x14ac:dyDescent="0.15">
      <c r="A76" s="155" t="s">
        <v>72</v>
      </c>
      <c r="B76" s="155"/>
      <c r="C76" s="155"/>
      <c r="D76" s="31">
        <v>45109</v>
      </c>
      <c r="E76" s="54">
        <f t="shared" si="3"/>
        <v>12506.666666666666</v>
      </c>
      <c r="F76" s="53">
        <f t="shared" si="4"/>
        <v>1563.3333333333333</v>
      </c>
      <c r="G76" s="45">
        <f t="shared" si="5"/>
        <v>14070</v>
      </c>
    </row>
    <row r="77" spans="1:7" x14ac:dyDescent="0.15">
      <c r="A77" s="155" t="s">
        <v>73</v>
      </c>
      <c r="B77" s="155"/>
      <c r="C77" s="155"/>
      <c r="D77" s="31">
        <v>45140</v>
      </c>
      <c r="E77" s="54">
        <f t="shared" si="3"/>
        <v>12506.666666666666</v>
      </c>
      <c r="F77" s="53">
        <f t="shared" si="4"/>
        <v>1563.3333333333333</v>
      </c>
      <c r="G77" s="45">
        <f t="shared" si="5"/>
        <v>14070</v>
      </c>
    </row>
    <row r="78" spans="1:7" x14ac:dyDescent="0.15">
      <c r="A78" s="155" t="s">
        <v>74</v>
      </c>
      <c r="B78" s="155"/>
      <c r="C78" s="155"/>
      <c r="D78" s="31">
        <v>45171</v>
      </c>
      <c r="E78" s="54">
        <f t="shared" si="3"/>
        <v>12506.666666666666</v>
      </c>
      <c r="F78" s="53">
        <f t="shared" si="4"/>
        <v>1563.3333333333333</v>
      </c>
      <c r="G78" s="45">
        <f t="shared" si="5"/>
        <v>14070</v>
      </c>
    </row>
    <row r="79" spans="1:7" x14ac:dyDescent="0.15">
      <c r="A79" s="155" t="s">
        <v>75</v>
      </c>
      <c r="B79" s="155"/>
      <c r="C79" s="155"/>
      <c r="D79" s="31">
        <v>45201</v>
      </c>
      <c r="E79" s="54">
        <f t="shared" si="3"/>
        <v>12506.666666666666</v>
      </c>
      <c r="F79" s="53">
        <f t="shared" si="4"/>
        <v>1563.3333333333333</v>
      </c>
      <c r="G79" s="45">
        <f t="shared" si="5"/>
        <v>14070</v>
      </c>
    </row>
    <row r="80" spans="1:7" x14ac:dyDescent="0.15">
      <c r="A80" s="179" t="s">
        <v>164</v>
      </c>
      <c r="B80" s="155"/>
      <c r="C80" s="155"/>
      <c r="D80" s="31">
        <v>45232</v>
      </c>
      <c r="E80" s="54">
        <f>G80-F80</f>
        <v>12506.666666666666</v>
      </c>
      <c r="F80" s="53">
        <f t="shared" si="4"/>
        <v>1563.3333333333333</v>
      </c>
      <c r="G80" s="45">
        <f>G44</f>
        <v>14070</v>
      </c>
    </row>
    <row r="81" spans="1:7" x14ac:dyDescent="0.15">
      <c r="A81" s="179" t="s">
        <v>165</v>
      </c>
      <c r="B81" s="155"/>
      <c r="C81" s="155"/>
      <c r="D81" s="31">
        <v>45262</v>
      </c>
      <c r="E81" s="54">
        <f t="shared" si="3"/>
        <v>12506.666666666666</v>
      </c>
      <c r="F81" s="53">
        <f t="shared" si="4"/>
        <v>1563.3333333333333</v>
      </c>
      <c r="G81" s="45">
        <f t="shared" ref="G81:G103" si="6">G45</f>
        <v>14070</v>
      </c>
    </row>
    <row r="82" spans="1:7" x14ac:dyDescent="0.15">
      <c r="A82" s="179" t="s">
        <v>166</v>
      </c>
      <c r="B82" s="155"/>
      <c r="C82" s="155"/>
      <c r="D82" s="31">
        <v>45293</v>
      </c>
      <c r="E82" s="54">
        <f t="shared" si="3"/>
        <v>12506.666666666666</v>
      </c>
      <c r="F82" s="53">
        <f t="shared" si="4"/>
        <v>1563.3333333333333</v>
      </c>
      <c r="G82" s="45">
        <f t="shared" si="6"/>
        <v>14070</v>
      </c>
    </row>
    <row r="83" spans="1:7" x14ac:dyDescent="0.15">
      <c r="A83" s="179" t="s">
        <v>167</v>
      </c>
      <c r="B83" s="155"/>
      <c r="C83" s="155"/>
      <c r="D83" s="31">
        <v>45324</v>
      </c>
      <c r="E83" s="54">
        <f t="shared" si="3"/>
        <v>12506.666666666666</v>
      </c>
      <c r="F83" s="53">
        <f t="shared" si="4"/>
        <v>1563.3333333333333</v>
      </c>
      <c r="G83" s="45">
        <f t="shared" si="6"/>
        <v>14070</v>
      </c>
    </row>
    <row r="84" spans="1:7" x14ac:dyDescent="0.15">
      <c r="A84" s="179" t="s">
        <v>168</v>
      </c>
      <c r="B84" s="155"/>
      <c r="C84" s="155"/>
      <c r="D84" s="31">
        <v>45353</v>
      </c>
      <c r="E84" s="54">
        <f t="shared" si="3"/>
        <v>12506.666666666666</v>
      </c>
      <c r="F84" s="53">
        <f t="shared" si="4"/>
        <v>1563.3333333333333</v>
      </c>
      <c r="G84" s="45">
        <f t="shared" si="6"/>
        <v>14070</v>
      </c>
    </row>
    <row r="85" spans="1:7" x14ac:dyDescent="0.15">
      <c r="A85" s="179" t="s">
        <v>169</v>
      </c>
      <c r="B85" s="155"/>
      <c r="C85" s="155"/>
      <c r="D85" s="31">
        <v>45384</v>
      </c>
      <c r="E85" s="54">
        <f t="shared" si="3"/>
        <v>12506.666666666666</v>
      </c>
      <c r="F85" s="53">
        <f t="shared" si="4"/>
        <v>1563.3333333333333</v>
      </c>
      <c r="G85" s="45">
        <f t="shared" si="6"/>
        <v>14070</v>
      </c>
    </row>
    <row r="86" spans="1:7" x14ac:dyDescent="0.15">
      <c r="A86" s="179" t="s">
        <v>170</v>
      </c>
      <c r="B86" s="155"/>
      <c r="C86" s="155"/>
      <c r="D86" s="31">
        <v>45414</v>
      </c>
      <c r="E86" s="54">
        <f t="shared" si="3"/>
        <v>12506.666666666666</v>
      </c>
      <c r="F86" s="53">
        <f t="shared" si="4"/>
        <v>1563.3333333333333</v>
      </c>
      <c r="G86" s="45">
        <f t="shared" si="6"/>
        <v>14070</v>
      </c>
    </row>
    <row r="87" spans="1:7" x14ac:dyDescent="0.15">
      <c r="A87" s="179" t="s">
        <v>171</v>
      </c>
      <c r="B87" s="155"/>
      <c r="C87" s="155"/>
      <c r="D87" s="31">
        <v>45445</v>
      </c>
      <c r="E87" s="54">
        <f t="shared" si="3"/>
        <v>12506.666666666666</v>
      </c>
      <c r="F87" s="53">
        <f t="shared" si="4"/>
        <v>1563.3333333333333</v>
      </c>
      <c r="G87" s="45">
        <f t="shared" si="6"/>
        <v>14070</v>
      </c>
    </row>
    <row r="88" spans="1:7" x14ac:dyDescent="0.15">
      <c r="A88" s="179" t="s">
        <v>172</v>
      </c>
      <c r="B88" s="155"/>
      <c r="C88" s="155"/>
      <c r="D88" s="31">
        <v>45475</v>
      </c>
      <c r="E88" s="54">
        <f t="shared" si="3"/>
        <v>12506.666666666666</v>
      </c>
      <c r="F88" s="53">
        <f t="shared" si="4"/>
        <v>1563.3333333333333</v>
      </c>
      <c r="G88" s="45">
        <f t="shared" si="6"/>
        <v>14070</v>
      </c>
    </row>
    <row r="89" spans="1:7" x14ac:dyDescent="0.15">
      <c r="A89" s="179" t="s">
        <v>173</v>
      </c>
      <c r="B89" s="155"/>
      <c r="C89" s="155"/>
      <c r="D89" s="31">
        <v>45506</v>
      </c>
      <c r="E89" s="54">
        <f t="shared" si="3"/>
        <v>12506.666666666666</v>
      </c>
      <c r="F89" s="53">
        <f t="shared" si="4"/>
        <v>1563.3333333333333</v>
      </c>
      <c r="G89" s="45">
        <f t="shared" si="6"/>
        <v>14070</v>
      </c>
    </row>
    <row r="90" spans="1:7" x14ac:dyDescent="0.15">
      <c r="A90" s="179" t="s">
        <v>174</v>
      </c>
      <c r="B90" s="155"/>
      <c r="C90" s="155"/>
      <c r="D90" s="31">
        <v>45537</v>
      </c>
      <c r="E90" s="54">
        <f t="shared" si="3"/>
        <v>12506.666666666666</v>
      </c>
      <c r="F90" s="53">
        <f t="shared" si="4"/>
        <v>1563.3333333333333</v>
      </c>
      <c r="G90" s="45">
        <f t="shared" si="6"/>
        <v>14070</v>
      </c>
    </row>
    <row r="91" spans="1:7" x14ac:dyDescent="0.15">
      <c r="A91" s="179" t="s">
        <v>175</v>
      </c>
      <c r="B91" s="155"/>
      <c r="C91" s="155"/>
      <c r="D91" s="31">
        <v>45567</v>
      </c>
      <c r="E91" s="54">
        <f t="shared" si="3"/>
        <v>12506.666666666666</v>
      </c>
      <c r="F91" s="53">
        <f t="shared" si="4"/>
        <v>1563.3333333333333</v>
      </c>
      <c r="G91" s="45">
        <f t="shared" si="6"/>
        <v>14070</v>
      </c>
    </row>
    <row r="92" spans="1:7" x14ac:dyDescent="0.15">
      <c r="A92" s="179" t="s">
        <v>176</v>
      </c>
      <c r="B92" s="155"/>
      <c r="C92" s="155"/>
      <c r="D92" s="31">
        <v>45598</v>
      </c>
      <c r="E92" s="54">
        <f t="shared" si="3"/>
        <v>12506.666666666666</v>
      </c>
      <c r="F92" s="53">
        <f t="shared" si="4"/>
        <v>1563.3333333333333</v>
      </c>
      <c r="G92" s="45">
        <f t="shared" si="6"/>
        <v>14070</v>
      </c>
    </row>
    <row r="93" spans="1:7" x14ac:dyDescent="0.15">
      <c r="A93" s="179" t="s">
        <v>177</v>
      </c>
      <c r="B93" s="155"/>
      <c r="C93" s="155"/>
      <c r="D93" s="31">
        <v>45628</v>
      </c>
      <c r="E93" s="54">
        <f t="shared" si="3"/>
        <v>12506.666666666666</v>
      </c>
      <c r="F93" s="53">
        <f t="shared" si="4"/>
        <v>1563.3333333333333</v>
      </c>
      <c r="G93" s="45">
        <f t="shared" si="6"/>
        <v>14070</v>
      </c>
    </row>
    <row r="94" spans="1:7" x14ac:dyDescent="0.15">
      <c r="A94" s="179" t="s">
        <v>178</v>
      </c>
      <c r="B94" s="155"/>
      <c r="C94" s="155"/>
      <c r="D94" s="31">
        <v>45659</v>
      </c>
      <c r="E94" s="54">
        <f t="shared" si="3"/>
        <v>12506.666666666666</v>
      </c>
      <c r="F94" s="53">
        <f t="shared" si="4"/>
        <v>1563.3333333333333</v>
      </c>
      <c r="G94" s="45">
        <f t="shared" si="6"/>
        <v>14070</v>
      </c>
    </row>
    <row r="95" spans="1:7" x14ac:dyDescent="0.15">
      <c r="A95" s="179" t="s">
        <v>179</v>
      </c>
      <c r="B95" s="155"/>
      <c r="C95" s="155"/>
      <c r="D95" s="31">
        <v>45690</v>
      </c>
      <c r="E95" s="54">
        <f t="shared" si="3"/>
        <v>12506.666666666666</v>
      </c>
      <c r="F95" s="53">
        <f t="shared" si="4"/>
        <v>1563.3333333333333</v>
      </c>
      <c r="G95" s="45">
        <f t="shared" si="6"/>
        <v>14070</v>
      </c>
    </row>
    <row r="96" spans="1:7" x14ac:dyDescent="0.15">
      <c r="A96" s="179" t="s">
        <v>180</v>
      </c>
      <c r="B96" s="155"/>
      <c r="C96" s="155"/>
      <c r="D96" s="31">
        <v>45718</v>
      </c>
      <c r="E96" s="54">
        <f t="shared" si="3"/>
        <v>12506.666666666666</v>
      </c>
      <c r="F96" s="53">
        <f t="shared" si="4"/>
        <v>1563.3333333333333</v>
      </c>
      <c r="G96" s="45">
        <f t="shared" si="6"/>
        <v>14070</v>
      </c>
    </row>
    <row r="97" spans="1:7" x14ac:dyDescent="0.15">
      <c r="A97" s="179" t="s">
        <v>181</v>
      </c>
      <c r="B97" s="155"/>
      <c r="C97" s="155"/>
      <c r="D97" s="31">
        <v>45749</v>
      </c>
      <c r="E97" s="54">
        <f t="shared" si="3"/>
        <v>12506.666666666666</v>
      </c>
      <c r="F97" s="53">
        <f t="shared" si="4"/>
        <v>1563.3333333333333</v>
      </c>
      <c r="G97" s="45">
        <f t="shared" si="6"/>
        <v>14070</v>
      </c>
    </row>
    <row r="98" spans="1:7" x14ac:dyDescent="0.15">
      <c r="A98" s="179" t="s">
        <v>182</v>
      </c>
      <c r="B98" s="155"/>
      <c r="C98" s="155"/>
      <c r="D98" s="31">
        <v>45779</v>
      </c>
      <c r="E98" s="54">
        <f t="shared" si="3"/>
        <v>12506.666666666666</v>
      </c>
      <c r="F98" s="53">
        <f t="shared" si="4"/>
        <v>1563.3333333333333</v>
      </c>
      <c r="G98" s="45">
        <f t="shared" si="6"/>
        <v>14070</v>
      </c>
    </row>
    <row r="99" spans="1:7" x14ac:dyDescent="0.15">
      <c r="A99" s="179" t="s">
        <v>183</v>
      </c>
      <c r="B99" s="155"/>
      <c r="C99" s="155"/>
      <c r="D99" s="31">
        <v>45810</v>
      </c>
      <c r="E99" s="54">
        <f t="shared" si="3"/>
        <v>12506.666666666666</v>
      </c>
      <c r="F99" s="53">
        <f t="shared" si="4"/>
        <v>1563.3333333333333</v>
      </c>
      <c r="G99" s="45">
        <f t="shared" si="6"/>
        <v>14070</v>
      </c>
    </row>
    <row r="100" spans="1:7" x14ac:dyDescent="0.15">
      <c r="A100" s="179" t="s">
        <v>184</v>
      </c>
      <c r="B100" s="155"/>
      <c r="C100" s="155"/>
      <c r="D100" s="31">
        <v>45840</v>
      </c>
      <c r="E100" s="54">
        <f t="shared" si="3"/>
        <v>12506.666666666666</v>
      </c>
      <c r="F100" s="53">
        <f t="shared" si="4"/>
        <v>1563.3333333333333</v>
      </c>
      <c r="G100" s="45">
        <f t="shared" si="6"/>
        <v>14070</v>
      </c>
    </row>
    <row r="101" spans="1:7" x14ac:dyDescent="0.15">
      <c r="A101" s="179" t="s">
        <v>185</v>
      </c>
      <c r="B101" s="155"/>
      <c r="C101" s="155"/>
      <c r="D101" s="31">
        <v>45871</v>
      </c>
      <c r="E101" s="54">
        <f t="shared" si="3"/>
        <v>12506.666666666666</v>
      </c>
      <c r="F101" s="53">
        <f t="shared" si="4"/>
        <v>1563.3333333333333</v>
      </c>
      <c r="G101" s="45">
        <f t="shared" si="6"/>
        <v>14070</v>
      </c>
    </row>
    <row r="102" spans="1:7" x14ac:dyDescent="0.15">
      <c r="A102" s="179" t="s">
        <v>186</v>
      </c>
      <c r="B102" s="155"/>
      <c r="C102" s="155"/>
      <c r="D102" s="31">
        <v>45902</v>
      </c>
      <c r="E102" s="54">
        <f t="shared" si="3"/>
        <v>12506.666666666666</v>
      </c>
      <c r="F102" s="53">
        <f t="shared" si="4"/>
        <v>1563.3333333333333</v>
      </c>
      <c r="G102" s="45">
        <f t="shared" si="6"/>
        <v>14070</v>
      </c>
    </row>
    <row r="103" spans="1:7" x14ac:dyDescent="0.15">
      <c r="A103" s="179" t="s">
        <v>187</v>
      </c>
      <c r="B103" s="155"/>
      <c r="C103" s="155"/>
      <c r="D103" s="31">
        <v>45932</v>
      </c>
      <c r="E103" s="54">
        <f>G103-F103</f>
        <v>12506.666666666666</v>
      </c>
      <c r="F103" s="53">
        <f t="shared" si="4"/>
        <v>1563.3333333333333</v>
      </c>
      <c r="G103" s="45">
        <f t="shared" si="6"/>
        <v>14070</v>
      </c>
    </row>
    <row r="104" spans="1:7" hidden="1" x14ac:dyDescent="0.15">
      <c r="A104" s="128"/>
      <c r="B104" s="128"/>
      <c r="C104" s="128"/>
      <c r="D104" s="31">
        <v>45764</v>
      </c>
      <c r="E104" s="54"/>
      <c r="F104" s="53"/>
      <c r="G104" s="45" t="e">
        <f t="shared" si="5"/>
        <v>#VALUE!</v>
      </c>
    </row>
    <row r="105" spans="1:7" hidden="1" x14ac:dyDescent="0.15">
      <c r="A105" s="128"/>
      <c r="B105" s="128"/>
      <c r="C105" s="128"/>
      <c r="D105" s="31">
        <v>45794</v>
      </c>
      <c r="E105" s="54"/>
      <c r="F105" s="53"/>
      <c r="G105" s="45" t="e">
        <f t="shared" si="5"/>
        <v>#VALUE!</v>
      </c>
    </row>
    <row r="106" spans="1:7" hidden="1" x14ac:dyDescent="0.15">
      <c r="A106" s="128"/>
      <c r="B106" s="128"/>
      <c r="C106" s="128"/>
      <c r="D106" s="31">
        <v>45825</v>
      </c>
      <c r="E106" s="54"/>
      <c r="F106" s="53"/>
      <c r="G106" s="45" t="e">
        <f t="shared" si="5"/>
        <v>#VALUE!</v>
      </c>
    </row>
    <row r="107" spans="1:7" hidden="1" x14ac:dyDescent="0.15">
      <c r="A107" s="128"/>
      <c r="B107" s="128"/>
      <c r="C107" s="128"/>
      <c r="D107" s="31">
        <v>45855</v>
      </c>
      <c r="E107" s="54"/>
      <c r="F107" s="53"/>
      <c r="G107" s="45" t="e">
        <f t="shared" si="5"/>
        <v>#VALUE!</v>
      </c>
    </row>
    <row r="108" spans="1:7" hidden="1" x14ac:dyDescent="0.15">
      <c r="A108" s="128"/>
      <c r="B108" s="128"/>
      <c r="C108" s="128"/>
      <c r="D108" s="31">
        <v>45886</v>
      </c>
      <c r="E108" s="54"/>
      <c r="F108" s="53"/>
      <c r="G108" s="45" t="e">
        <f t="shared" si="5"/>
        <v>#VALUE!</v>
      </c>
    </row>
    <row r="109" spans="1:7" hidden="1" x14ac:dyDescent="0.15">
      <c r="A109" s="128"/>
      <c r="B109" s="128"/>
      <c r="C109" s="128"/>
      <c r="D109" s="31">
        <v>45917</v>
      </c>
      <c r="E109" s="54"/>
      <c r="F109" s="53"/>
      <c r="G109" s="45" t="e">
        <f t="shared" si="5"/>
        <v>#VALUE!</v>
      </c>
    </row>
    <row r="110" spans="1:7" hidden="1" x14ac:dyDescent="0.15">
      <c r="A110" s="128"/>
      <c r="B110" s="128"/>
      <c r="C110" s="128"/>
      <c r="D110" s="31">
        <v>45947</v>
      </c>
      <c r="E110" s="54"/>
      <c r="F110" s="53"/>
      <c r="G110" s="45" t="e">
        <f t="shared" si="5"/>
        <v>#VALUE!</v>
      </c>
    </row>
    <row r="111" spans="1:7" hidden="1" x14ac:dyDescent="0.15">
      <c r="A111" s="128"/>
      <c r="B111" s="128"/>
      <c r="C111" s="128"/>
      <c r="D111" s="31">
        <v>45978</v>
      </c>
      <c r="E111" s="54"/>
      <c r="F111" s="53"/>
      <c r="G111" s="45" t="e">
        <f t="shared" si="5"/>
        <v>#VALUE!</v>
      </c>
    </row>
    <row r="112" spans="1:7" hidden="1" x14ac:dyDescent="0.15">
      <c r="A112" s="128"/>
      <c r="B112" s="128"/>
      <c r="C112" s="128"/>
      <c r="D112" s="31">
        <v>46008</v>
      </c>
      <c r="E112" s="54"/>
      <c r="F112" s="53"/>
      <c r="G112" s="45" t="e">
        <f t="shared" si="5"/>
        <v>#VALUE!</v>
      </c>
    </row>
    <row r="113" spans="1:7" hidden="1" x14ac:dyDescent="0.15">
      <c r="A113" s="128"/>
      <c r="B113" s="128"/>
      <c r="C113" s="128"/>
      <c r="D113" s="31">
        <v>46039</v>
      </c>
      <c r="E113" s="54"/>
      <c r="F113" s="53"/>
      <c r="G113" s="45" t="e">
        <f t="shared" si="5"/>
        <v>#VALUE!</v>
      </c>
    </row>
    <row r="114" spans="1:7" hidden="1" x14ac:dyDescent="0.15">
      <c r="A114" s="128"/>
      <c r="B114" s="128"/>
      <c r="C114" s="128"/>
      <c r="D114" s="31">
        <v>46070</v>
      </c>
      <c r="E114" s="54"/>
      <c r="F114" s="53"/>
      <c r="G114" s="45" t="e">
        <f t="shared" si="5"/>
        <v>#VALUE!</v>
      </c>
    </row>
    <row r="115" spans="1:7" hidden="1" x14ac:dyDescent="0.15">
      <c r="A115" s="128"/>
      <c r="B115" s="128"/>
      <c r="C115" s="128"/>
      <c r="D115" s="31">
        <v>46098</v>
      </c>
      <c r="E115" s="54"/>
      <c r="F115" s="53"/>
      <c r="G115" s="45" t="e">
        <f t="shared" si="5"/>
        <v>#VALUE!</v>
      </c>
    </row>
    <row r="116" spans="1:7" hidden="1" x14ac:dyDescent="0.15">
      <c r="A116" s="128"/>
      <c r="B116" s="128"/>
      <c r="C116" s="128"/>
      <c r="D116" s="31">
        <v>46129</v>
      </c>
      <c r="E116" s="54"/>
      <c r="F116" s="53"/>
      <c r="G116" s="45" t="e">
        <f t="shared" si="5"/>
        <v>#VALUE!</v>
      </c>
    </row>
    <row r="117" spans="1:7" hidden="1" x14ac:dyDescent="0.15">
      <c r="A117" s="128"/>
      <c r="B117" s="128"/>
      <c r="C117" s="128"/>
      <c r="D117" s="31">
        <v>46159</v>
      </c>
      <c r="E117" s="54"/>
      <c r="F117" s="53"/>
      <c r="G117" s="45" t="e">
        <f>IF(NoDPSchedule&lt;VALUE(LEFT(A117,2))," ",SUM(E117:F117))</f>
        <v>#VALUE!</v>
      </c>
    </row>
    <row r="118" spans="1:7" hidden="1" x14ac:dyDescent="0.15">
      <c r="A118" s="128"/>
      <c r="B118" s="128"/>
      <c r="C118" s="128"/>
      <c r="D118" s="31">
        <v>46190</v>
      </c>
      <c r="E118" s="54"/>
      <c r="F118" s="53"/>
      <c r="G118" s="45" t="e">
        <f>IF(NoDPSchedule&lt;VALUE(LEFT(A118,2))," ",SUM(E118:F118))</f>
        <v>#VALUE!</v>
      </c>
    </row>
    <row r="119" spans="1:7" hidden="1" x14ac:dyDescent="0.15">
      <c r="A119" s="128"/>
      <c r="B119" s="128"/>
      <c r="C119" s="128"/>
      <c r="D119" s="31">
        <v>46220</v>
      </c>
      <c r="E119" s="54"/>
      <c r="F119" s="53"/>
      <c r="G119" s="45" t="e">
        <f>IF(NoDPSchedule&lt;VALUE(LEFT(A119,2))," ",SUM(E119:F119))</f>
        <v>#VALUE!</v>
      </c>
    </row>
    <row r="120" spans="1:7" hidden="1" x14ac:dyDescent="0.15">
      <c r="A120" s="128"/>
      <c r="B120" s="128"/>
      <c r="C120" s="128"/>
      <c r="D120" s="31">
        <v>46251</v>
      </c>
      <c r="E120" s="54"/>
      <c r="F120" s="53"/>
      <c r="G120" s="45" t="e">
        <f>IF(NoDPSchedule&lt;VALUE(LEFT(A120,2))," ",SUM(E120:F120))</f>
        <v>#VALUE!</v>
      </c>
    </row>
    <row r="121" spans="1:7" ht="12.75" customHeight="1" x14ac:dyDescent="0.15"/>
    <row r="122" spans="1:7" x14ac:dyDescent="0.15">
      <c r="A122" s="44" t="s">
        <v>96</v>
      </c>
      <c r="B122" s="43"/>
      <c r="C122" s="43"/>
      <c r="D122" s="43"/>
    </row>
    <row r="123" spans="1:7" x14ac:dyDescent="0.15">
      <c r="A123" s="154" t="s">
        <v>97</v>
      </c>
      <c r="B123" s="154"/>
      <c r="C123" s="154"/>
      <c r="D123" s="154"/>
      <c r="E123" s="154"/>
      <c r="F123" s="154"/>
      <c r="G123" s="154"/>
    </row>
    <row r="124" spans="1:7" x14ac:dyDescent="0.15">
      <c r="A124" s="43" t="s">
        <v>98</v>
      </c>
      <c r="B124" s="43"/>
      <c r="C124" s="43"/>
      <c r="D124" s="43"/>
    </row>
    <row r="125" spans="1:7" x14ac:dyDescent="0.15">
      <c r="A125" s="43" t="s">
        <v>99</v>
      </c>
      <c r="B125" s="43"/>
      <c r="C125" s="43"/>
      <c r="D125" s="43"/>
    </row>
    <row r="126" spans="1:7" x14ac:dyDescent="0.15">
      <c r="A126" s="43" t="s">
        <v>100</v>
      </c>
      <c r="B126" s="43"/>
      <c r="C126" s="43"/>
      <c r="D126" s="43"/>
    </row>
    <row r="127" spans="1:7" x14ac:dyDescent="0.15">
      <c r="A127" s="127" t="s">
        <v>101</v>
      </c>
      <c r="B127" s="43"/>
      <c r="C127" s="43"/>
      <c r="D127" s="43"/>
    </row>
    <row r="128" spans="1:7" x14ac:dyDescent="0.15">
      <c r="A128" s="127" t="s">
        <v>102</v>
      </c>
      <c r="B128" s="43"/>
      <c r="C128" s="43"/>
      <c r="D128" s="43"/>
    </row>
    <row r="129" spans="1:7" x14ac:dyDescent="0.15">
      <c r="A129" s="127" t="s">
        <v>103</v>
      </c>
      <c r="B129" s="43"/>
      <c r="C129" s="43"/>
      <c r="D129" s="43"/>
    </row>
    <row r="130" spans="1:7" x14ac:dyDescent="0.15">
      <c r="A130" s="127" t="s">
        <v>104</v>
      </c>
      <c r="B130" s="43"/>
      <c r="C130" s="43"/>
      <c r="D130" s="43"/>
    </row>
    <row r="131" spans="1:7" x14ac:dyDescent="0.15">
      <c r="A131" s="127" t="s">
        <v>105</v>
      </c>
      <c r="B131" s="43"/>
      <c r="C131" s="43"/>
      <c r="D131" s="43"/>
    </row>
    <row r="132" spans="1:7" x14ac:dyDescent="0.15">
      <c r="A132" s="154" t="s">
        <v>106</v>
      </c>
      <c r="B132" s="154"/>
      <c r="C132" s="154"/>
      <c r="D132" s="154"/>
      <c r="E132" s="154"/>
      <c r="F132" s="154"/>
      <c r="G132" s="154"/>
    </row>
    <row r="133" spans="1:7" ht="12.75" customHeight="1" x14ac:dyDescent="0.15"/>
    <row r="134" spans="1:7" ht="12.75" customHeight="1" x14ac:dyDescent="0.15"/>
    <row r="135" spans="1:7" x14ac:dyDescent="0.15">
      <c r="A135" s="41" t="s">
        <v>107</v>
      </c>
      <c r="E135" s="41" t="s">
        <v>108</v>
      </c>
    </row>
    <row r="136" spans="1:7" ht="12.75" customHeight="1" x14ac:dyDescent="0.15"/>
    <row r="137" spans="1:7" ht="12.75" customHeight="1" x14ac:dyDescent="0.15"/>
    <row r="138" spans="1:7" x14ac:dyDescent="0.15">
      <c r="A138" s="42"/>
      <c r="B138" s="42"/>
      <c r="C138" s="42"/>
      <c r="E138" s="42"/>
      <c r="F138" s="42"/>
      <c r="G138" s="42"/>
    </row>
    <row r="139" spans="1:7" x14ac:dyDescent="0.15">
      <c r="A139" s="41" t="s">
        <v>109</v>
      </c>
      <c r="E139" s="41" t="s">
        <v>109</v>
      </c>
    </row>
    <row r="140" spans="1:7" x14ac:dyDescent="0.15">
      <c r="A140" s="41" t="s">
        <v>110</v>
      </c>
      <c r="E140" s="41" t="s">
        <v>111</v>
      </c>
    </row>
    <row r="141" spans="1:7" ht="12.75" customHeight="1" x14ac:dyDescent="0.15"/>
    <row r="142" spans="1:7" ht="12.75" customHeight="1" x14ac:dyDescent="0.15"/>
    <row r="143" spans="1:7" x14ac:dyDescent="0.15">
      <c r="A143" s="41" t="s">
        <v>112</v>
      </c>
    </row>
    <row r="144" spans="1:7" ht="12.75" customHeight="1" x14ac:dyDescent="0.15"/>
    <row r="145" spans="1:3" ht="12.75" customHeight="1" x14ac:dyDescent="0.15"/>
    <row r="146" spans="1:3" x14ac:dyDescent="0.15">
      <c r="A146" s="42"/>
      <c r="B146" s="42"/>
      <c r="C146" s="42"/>
    </row>
    <row r="147" spans="1:3" x14ac:dyDescent="0.15">
      <c r="A147" s="41" t="s">
        <v>109</v>
      </c>
    </row>
    <row r="148" spans="1:3" x14ac:dyDescent="0.15">
      <c r="A148" s="41" t="s">
        <v>113</v>
      </c>
    </row>
  </sheetData>
  <mergeCells count="68">
    <mergeCell ref="B1:F1"/>
    <mergeCell ref="B2:F2"/>
    <mergeCell ref="A3:G3"/>
    <mergeCell ref="F6:G6"/>
    <mergeCell ref="F7:G7"/>
    <mergeCell ref="B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123:G123"/>
    <mergeCell ref="A132:G132"/>
    <mergeCell ref="A98:C98"/>
    <mergeCell ref="A99:C99"/>
    <mergeCell ref="A100:C100"/>
    <mergeCell ref="A101:C101"/>
    <mergeCell ref="A102:C102"/>
    <mergeCell ref="A103:C103"/>
  </mergeCells>
  <conditionalFormatting sqref="A45:C52">
    <cfRule type="expression" dxfId="4" priority="1" stopIfTrue="1">
      <formula>VALUE(NoDPSchedule)&lt;VALUE(LEFT(A45,1))</formula>
    </cfRule>
  </conditionalFormatting>
  <conditionalFormatting sqref="A53:C120">
    <cfRule type="expression" dxfId="3" priority="2" stopIfTrue="1">
      <formula>VALUE(NoDPSchedule)&lt;VALUE(LEFT(A53,2))</formula>
    </cfRule>
  </conditionalFormatting>
  <conditionalFormatting sqref="G11 G25">
    <cfRule type="expression" dxfId="2" priority="3" stopIfTrue="1">
      <formula>G11=0</formula>
    </cfRule>
  </conditionalFormatting>
  <conditionalFormatting sqref="B11">
    <cfRule type="expression" dxfId="1" priority="4" stopIfTrue="1">
      <formula>G11=0</formula>
    </cfRule>
  </conditionalFormatting>
  <conditionalFormatting sqref="B25">
    <cfRule type="expression" dxfId="0" priority="5" stopIfTrue="1">
      <formula>G25=0</formula>
    </cfRule>
  </conditionalFormatting>
  <pageMargins left="0.75" right="0.75" top="1" bottom="1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J61"/>
  <sheetViews>
    <sheetView zoomScaleSheetLayoutView="90" workbookViewId="0">
      <selection activeCell="N6" sqref="N6"/>
    </sheetView>
  </sheetViews>
  <sheetFormatPr baseColWidth="10" defaultColWidth="12.33203125" defaultRowHeight="12.75" customHeight="1" x14ac:dyDescent="0.15"/>
  <cols>
    <col min="1" max="5" width="12.33203125" style="41"/>
    <col min="6" max="6" width="37.83203125" style="41" customWidth="1"/>
    <col min="7" max="7" width="26.33203125" style="41" customWidth="1"/>
    <col min="8" max="8" width="15.1640625" style="86" hidden="1" customWidth="1"/>
    <col min="9" max="9" width="14.1640625" style="86" hidden="1" customWidth="1"/>
    <col min="10" max="16384" width="12.33203125" style="41"/>
  </cols>
  <sheetData>
    <row r="1" spans="1:10" ht="14.25" customHeight="1" thickTop="1" x14ac:dyDescent="0.2">
      <c r="A1" s="83" t="s">
        <v>153</v>
      </c>
      <c r="B1" s="157" t="s">
        <v>0</v>
      </c>
      <c r="C1" s="157"/>
      <c r="D1" s="157"/>
      <c r="E1" s="157"/>
      <c r="F1" s="157"/>
      <c r="G1" s="82"/>
    </row>
    <row r="2" spans="1:10" ht="14.25" customHeight="1" x14ac:dyDescent="0.15">
      <c r="A2" s="81"/>
      <c r="B2" s="158" t="s">
        <v>1</v>
      </c>
      <c r="C2" s="158"/>
      <c r="D2" s="158"/>
      <c r="E2" s="158"/>
      <c r="F2" s="158"/>
      <c r="G2" s="80"/>
    </row>
    <row r="3" spans="1:10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0" ht="13.5" customHeight="1" thickBot="1" x14ac:dyDescent="0.2">
      <c r="A4" s="79" t="str">
        <f>IF(A44&lt;=12,12,A44)</f>
        <v>2.  Discounts are subject to change based on the timing of submission of basic booking documents and payments.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62"/>
    </row>
    <row r="6" spans="1:10" ht="13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</row>
    <row r="7" spans="1:10" ht="13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ROUND(IF(ISERROR(FIND("PARKING",F7,1)),IF(G10&gt;3199200,(G10-(G10/1.12)),0),(G10-(G10/1.12))),2)</f>
        <v>160800</v>
      </c>
      <c r="H11" s="86">
        <f>SellingPrice-G11</f>
        <v>1340000</v>
      </c>
      <c r="I11" s="86">
        <f>G11+G21</f>
        <v>160800</v>
      </c>
    </row>
    <row r="12" spans="1:10" ht="13" hidden="1" x14ac:dyDescent="0.15">
      <c r="B12" s="48" t="s">
        <v>154</v>
      </c>
      <c r="C12" s="73"/>
      <c r="F12" s="72"/>
      <c r="G12" s="54"/>
    </row>
    <row r="13" spans="1:10" ht="13" hidden="1" x14ac:dyDescent="0.15">
      <c r="A13" s="62">
        <v>10</v>
      </c>
      <c r="B13" s="48" t="str">
        <f>CONCATENATE(10,"% Spot Cash Discount")</f>
        <v>10% Spot Cash Discount</v>
      </c>
      <c r="F13" s="72"/>
      <c r="G13" s="45"/>
      <c r="H13" s="86">
        <f>SUM(G11+G12)</f>
        <v>160800</v>
      </c>
      <c r="I13" s="86">
        <f>G10-I11</f>
        <v>1340000</v>
      </c>
      <c r="J13" s="45"/>
    </row>
    <row r="14" spans="1:10" ht="13" hidden="1" x14ac:dyDescent="0.15">
      <c r="B14" s="41" t="s">
        <v>14</v>
      </c>
      <c r="D14" s="38"/>
      <c r="G14" s="45"/>
      <c r="J14" s="45"/>
    </row>
    <row r="15" spans="1:10" ht="13" hidden="1" x14ac:dyDescent="0.15">
      <c r="B15" s="41" t="s">
        <v>15</v>
      </c>
      <c r="G15" s="45"/>
      <c r="J15" s="45"/>
    </row>
    <row r="16" spans="1:10" ht="13" hidden="1" x14ac:dyDescent="0.15">
      <c r="B16" s="41" t="s">
        <v>16</v>
      </c>
      <c r="G16" s="45"/>
    </row>
    <row r="17" spans="1:10" ht="14" hidden="1" x14ac:dyDescent="0.2">
      <c r="B17" s="41" t="s">
        <v>18</v>
      </c>
      <c r="D17" s="38" t="s">
        <v>120</v>
      </c>
      <c r="E17"/>
      <c r="F17"/>
      <c r="G17" s="45"/>
      <c r="H17" s="86">
        <f>SellingPrice-H13</f>
        <v>1340000</v>
      </c>
    </row>
    <row r="18" spans="1:10" ht="14" hidden="1" x14ac:dyDescent="0.2">
      <c r="B18" s="41" t="s">
        <v>19</v>
      </c>
      <c r="D18" s="38"/>
      <c r="E18"/>
      <c r="F18"/>
      <c r="G18" s="45"/>
    </row>
    <row r="19" spans="1:10" ht="13" hidden="1" x14ac:dyDescent="0.15">
      <c r="B19" s="41" t="s">
        <v>20</v>
      </c>
      <c r="G19" s="45"/>
      <c r="J19" s="45"/>
    </row>
    <row r="20" spans="1:10" ht="13" hidden="1" x14ac:dyDescent="0.15">
      <c r="B20" s="41" t="s">
        <v>21</v>
      </c>
      <c r="G20" s="45"/>
      <c r="J20" s="45"/>
    </row>
    <row r="21" spans="1:10" ht="13" hidden="1" x14ac:dyDescent="0.15">
      <c r="B21" s="1" t="s">
        <v>131</v>
      </c>
      <c r="D21" s="22" t="s">
        <v>132</v>
      </c>
      <c r="G21" s="45"/>
      <c r="J21" s="45"/>
    </row>
    <row r="22" spans="1:10" ht="13" hidden="1" x14ac:dyDescent="0.15">
      <c r="B22" s="41" t="s">
        <v>23</v>
      </c>
      <c r="G22" s="45">
        <v>0</v>
      </c>
      <c r="J22" s="45"/>
    </row>
    <row r="23" spans="1:10" ht="13" hidden="1" x14ac:dyDescent="0.15">
      <c r="B23" s="41" t="s">
        <v>24</v>
      </c>
      <c r="G23" s="45">
        <v>0</v>
      </c>
      <c r="J23" s="45"/>
    </row>
    <row r="24" spans="1:10" ht="14" thickBot="1" x14ac:dyDescent="0.2">
      <c r="G24" s="45"/>
    </row>
    <row r="25" spans="1:10" ht="13.5" customHeight="1" thickTop="1" x14ac:dyDescent="0.15">
      <c r="A25" s="68" t="s">
        <v>138</v>
      </c>
      <c r="B25" s="70"/>
      <c r="C25" s="67"/>
      <c r="D25" s="67"/>
      <c r="E25" s="67"/>
      <c r="F25" s="65" t="s">
        <v>11</v>
      </c>
      <c r="G25" s="64">
        <f>(G10-G11)-SUM(G13:G23)</f>
        <v>1340000</v>
      </c>
    </row>
    <row r="26" spans="1:10" ht="13" x14ac:dyDescent="0.15">
      <c r="A26" s="41" t="s">
        <v>26</v>
      </c>
      <c r="B26" s="41" t="s">
        <v>13</v>
      </c>
      <c r="G26" s="45">
        <f>ROUND(IF(ISERROR(FIND("PARKING",F7,1)),IF(G25&gt;3199200,G25*12%,0),G25*12%),2)</f>
        <v>160800</v>
      </c>
    </row>
    <row r="27" spans="1:10" ht="13" hidden="1" x14ac:dyDescent="0.15">
      <c r="A27" s="62">
        <v>6</v>
      </c>
      <c r="B27" s="41" t="s">
        <v>27</v>
      </c>
      <c r="G27" s="45">
        <f>ROUND(G25*(A27/100),2)</f>
        <v>80400</v>
      </c>
    </row>
    <row r="28" spans="1:10" ht="13" hidden="1" x14ac:dyDescent="0.15">
      <c r="A28" s="62"/>
      <c r="B28" s="41" t="s">
        <v>28</v>
      </c>
      <c r="F28" s="62">
        <f>IF(G28&gt;50000,50000,G28)</f>
        <v>0</v>
      </c>
      <c r="G28" s="45">
        <v>0</v>
      </c>
    </row>
    <row r="29" spans="1:10" ht="13" hidden="1" x14ac:dyDescent="0.15">
      <c r="A29" s="62"/>
      <c r="B29" s="41" t="s">
        <v>29</v>
      </c>
      <c r="G29" s="45">
        <v>0</v>
      </c>
    </row>
    <row r="30" spans="1:10" ht="13.5" customHeight="1" thickBot="1" x14ac:dyDescent="0.2">
      <c r="A30" s="62"/>
      <c r="B30" s="41" t="s">
        <v>27</v>
      </c>
      <c r="G30" s="45">
        <f>ROUND(SUM(G27,G29,F28),2)</f>
        <v>80400</v>
      </c>
    </row>
    <row r="31" spans="1:10" ht="13.5" customHeight="1" thickTop="1" x14ac:dyDescent="0.15">
      <c r="A31" s="68" t="s">
        <v>155</v>
      </c>
      <c r="B31" s="67"/>
      <c r="C31" s="67"/>
      <c r="D31" s="67"/>
      <c r="E31" s="67"/>
      <c r="F31" s="65" t="s">
        <v>11</v>
      </c>
      <c r="G31" s="64">
        <f>G25+SUM(G26,G30)</f>
        <v>1581200</v>
      </c>
    </row>
    <row r="32" spans="1:10" ht="13.5" customHeight="1" thickBot="1" x14ac:dyDescent="0.2">
      <c r="A32" s="41" t="s">
        <v>12</v>
      </c>
      <c r="B32" s="41" t="s">
        <v>34</v>
      </c>
      <c r="F32" s="50">
        <f ca="1">NOW()</f>
        <v>44075.451322222223</v>
      </c>
      <c r="G32" s="18">
        <v>20000</v>
      </c>
    </row>
    <row r="33" spans="1:7" ht="13.5" customHeight="1" thickTop="1" x14ac:dyDescent="0.15">
      <c r="A33" s="87" t="s">
        <v>156</v>
      </c>
      <c r="B33" s="67"/>
      <c r="C33" s="67"/>
      <c r="D33" s="67"/>
      <c r="E33" s="67"/>
      <c r="F33" s="102">
        <f ca="1">ReservationDate+30</f>
        <v>44105.451322222223</v>
      </c>
      <c r="G33" s="64">
        <f>G31-G32</f>
        <v>1561200</v>
      </c>
    </row>
    <row r="34" spans="1:7" ht="13" x14ac:dyDescent="0.15">
      <c r="A34" s="62"/>
      <c r="B34" s="62"/>
      <c r="C34" s="69">
        <v>20</v>
      </c>
    </row>
    <row r="35" spans="1:7" ht="13" hidden="1" x14ac:dyDescent="0.15">
      <c r="A35" s="62"/>
      <c r="C35" s="69"/>
      <c r="E35" s="88" t="s">
        <v>157</v>
      </c>
      <c r="F35" s="99">
        <v>43731</v>
      </c>
      <c r="G35" s="89">
        <f>ROUND(G33*100%,2)</f>
        <v>1561200</v>
      </c>
    </row>
    <row r="36" spans="1:7" ht="13" hidden="1" x14ac:dyDescent="0.15">
      <c r="A36" s="62"/>
      <c r="B36" s="43"/>
      <c r="C36" s="69"/>
      <c r="F36" s="50"/>
    </row>
    <row r="37" spans="1:7" ht="13" hidden="1" x14ac:dyDescent="0.15">
      <c r="A37" s="62"/>
      <c r="B37" s="43"/>
      <c r="C37" s="69"/>
      <c r="E37" s="88" t="s">
        <v>158</v>
      </c>
      <c r="F37" s="50">
        <f>DPDate</f>
        <v>43731</v>
      </c>
      <c r="G37" s="89">
        <f>ROUND(G33*5%,2)</f>
        <v>78060</v>
      </c>
    </row>
    <row r="38" spans="1:7" ht="13" hidden="1" x14ac:dyDescent="0.15">
      <c r="A38" s="62"/>
      <c r="B38" s="43"/>
      <c r="C38" s="69"/>
      <c r="E38" s="90"/>
      <c r="F38" s="50"/>
      <c r="G38" s="89"/>
    </row>
    <row r="39" spans="1:7" ht="13" x14ac:dyDescent="0.15">
      <c r="A39" s="62"/>
      <c r="B39" s="43"/>
      <c r="C39" s="69"/>
      <c r="E39" s="90"/>
      <c r="F39" s="50"/>
      <c r="G39" s="89"/>
    </row>
    <row r="40" spans="1:7" ht="13" x14ac:dyDescent="0.15">
      <c r="A40" s="44" t="s">
        <v>96</v>
      </c>
      <c r="B40" s="43"/>
      <c r="C40" s="43"/>
      <c r="D40" s="43"/>
    </row>
    <row r="41" spans="1:7" ht="13" x14ac:dyDescent="0.15">
      <c r="A41" s="43" t="s">
        <v>159</v>
      </c>
      <c r="B41" s="43"/>
      <c r="C41" s="43"/>
      <c r="D41" s="43"/>
    </row>
    <row r="42" spans="1:7" ht="13" x14ac:dyDescent="0.15">
      <c r="A42" s="43" t="s">
        <v>160</v>
      </c>
      <c r="B42" s="43"/>
      <c r="C42" s="43"/>
      <c r="D42" s="43"/>
    </row>
    <row r="43" spans="1:7" ht="13" x14ac:dyDescent="0.15">
      <c r="A43" s="43" t="s">
        <v>161</v>
      </c>
      <c r="B43" s="43"/>
      <c r="C43" s="43"/>
      <c r="D43" s="43"/>
    </row>
    <row r="44" spans="1:7" ht="13" x14ac:dyDescent="0.15">
      <c r="A44" s="43" t="s">
        <v>162</v>
      </c>
      <c r="B44" s="43"/>
      <c r="C44" s="43"/>
      <c r="D44" s="43"/>
    </row>
    <row r="45" spans="1:7" ht="13" x14ac:dyDescent="0.15">
      <c r="A45" s="154" t="s">
        <v>163</v>
      </c>
      <c r="B45" s="154"/>
      <c r="C45" s="154"/>
      <c r="D45" s="154"/>
      <c r="E45" s="154"/>
      <c r="F45" s="154"/>
      <c r="G45" s="154"/>
    </row>
    <row r="48" spans="1:7" ht="13" x14ac:dyDescent="0.15">
      <c r="A48" s="41" t="s">
        <v>107</v>
      </c>
      <c r="E48" s="41" t="s">
        <v>108</v>
      </c>
    </row>
    <row r="51" spans="1:7" ht="13" x14ac:dyDescent="0.15">
      <c r="A51" s="42"/>
      <c r="B51" s="42"/>
      <c r="C51" s="42"/>
      <c r="E51" s="42"/>
      <c r="F51" s="42"/>
      <c r="G51" s="42"/>
    </row>
    <row r="52" spans="1:7" ht="13" x14ac:dyDescent="0.15">
      <c r="A52" s="41" t="s">
        <v>109</v>
      </c>
      <c r="E52" s="41" t="s">
        <v>109</v>
      </c>
    </row>
    <row r="53" spans="1:7" ht="13" x14ac:dyDescent="0.15">
      <c r="A53" s="41" t="s">
        <v>110</v>
      </c>
      <c r="E53" s="41" t="s">
        <v>111</v>
      </c>
    </row>
    <row r="56" spans="1:7" ht="13" x14ac:dyDescent="0.15">
      <c r="A56" s="41" t="s">
        <v>112</v>
      </c>
    </row>
    <row r="59" spans="1:7" ht="13" x14ac:dyDescent="0.15">
      <c r="A59" s="42"/>
      <c r="B59" s="42"/>
      <c r="C59" s="42"/>
    </row>
    <row r="60" spans="1:7" ht="13" x14ac:dyDescent="0.15">
      <c r="A60" s="41" t="s">
        <v>109</v>
      </c>
    </row>
    <row r="61" spans="1:7" ht="13" x14ac:dyDescent="0.15">
      <c r="A61" s="41" t="s">
        <v>113</v>
      </c>
    </row>
  </sheetData>
  <mergeCells count="6">
    <mergeCell ref="A45:G45"/>
    <mergeCell ref="B1:F1"/>
    <mergeCell ref="B2:F2"/>
    <mergeCell ref="A3:G3"/>
    <mergeCell ref="F6:G6"/>
    <mergeCell ref="F7:G7"/>
  </mergeCells>
  <printOptions horizontalCentered="1"/>
  <pageMargins left="0.25" right="0.25" top="0.5" bottom="0.5" header="0.5" footer="0.5"/>
  <pageSetup paperSize="9" scale="74" orientation="portrait" horizontalDpi="4294967293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8"/>
  <sheetViews>
    <sheetView workbookViewId="0">
      <selection activeCell="A6" sqref="A6:G10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3" width="12.33203125" style="1"/>
    <col min="4" max="4" width="11.33203125" style="1" customWidth="1"/>
    <col min="5" max="5" width="13.5" style="1" customWidth="1"/>
    <col min="6" max="6" width="35.83203125" style="1" customWidth="1"/>
    <col min="7" max="7" width="18" style="1" customWidth="1"/>
    <col min="8" max="8" width="13.6640625" style="1" hidden="1" customWidth="1"/>
    <col min="9" max="9" width="2" style="1" customWidth="1"/>
    <col min="10" max="10" width="13.33203125" style="1" bestFit="1" customWidth="1"/>
    <col min="11" max="16384" width="12.33203125" style="1"/>
  </cols>
  <sheetData>
    <row r="1" spans="1:15" ht="14.25" customHeight="1" x14ac:dyDescent="0.2">
      <c r="A1" s="2"/>
      <c r="B1" s="135" t="s">
        <v>0</v>
      </c>
      <c r="C1" s="135"/>
      <c r="D1" s="135"/>
      <c r="E1" s="135"/>
      <c r="F1" s="135"/>
      <c r="G1" s="3"/>
    </row>
    <row r="2" spans="1:15" ht="14.25" customHeight="1" x14ac:dyDescent="0.15">
      <c r="A2" s="4"/>
      <c r="B2" s="136" t="s">
        <v>1</v>
      </c>
      <c r="C2" s="136"/>
      <c r="D2" s="136"/>
      <c r="E2" s="136"/>
      <c r="F2" s="136"/>
      <c r="G2" s="5"/>
      <c r="J2" s="145" t="s">
        <v>114</v>
      </c>
      <c r="K2" s="146"/>
      <c r="L2" s="146"/>
      <c r="M2" s="147"/>
    </row>
    <row r="3" spans="1:15" ht="30" customHeight="1" x14ac:dyDescent="0.15">
      <c r="A3" s="137" t="s">
        <v>2</v>
      </c>
      <c r="B3" s="138"/>
      <c r="C3" s="138"/>
      <c r="D3" s="138"/>
      <c r="E3" s="138"/>
      <c r="F3" s="138"/>
      <c r="G3" s="139"/>
      <c r="J3" s="148"/>
      <c r="K3" s="149"/>
      <c r="L3" s="149"/>
      <c r="M3" s="150"/>
    </row>
    <row r="4" spans="1:15" ht="13.5" customHeight="1" x14ac:dyDescent="0.15">
      <c r="A4" s="6">
        <f>IF(A39&lt;=12,12,A39)</f>
        <v>24</v>
      </c>
      <c r="B4" s="7"/>
      <c r="C4" s="7"/>
      <c r="D4" s="96" t="s">
        <v>115</v>
      </c>
      <c r="E4" s="7"/>
      <c r="F4" s="7"/>
      <c r="G4" s="8"/>
      <c r="J4" s="148"/>
      <c r="K4" s="149"/>
      <c r="L4" s="149"/>
      <c r="M4" s="150"/>
    </row>
    <row r="5" spans="1:15" ht="13.5" customHeight="1" x14ac:dyDescent="0.15">
      <c r="G5" s="9">
        <v>24</v>
      </c>
      <c r="J5" s="148"/>
      <c r="K5" s="149"/>
      <c r="L5" s="149"/>
      <c r="M5" s="150"/>
    </row>
    <row r="6" spans="1:15" ht="13.5" customHeight="1" x14ac:dyDescent="0.15">
      <c r="A6" s="123" t="s">
        <v>4</v>
      </c>
      <c r="B6" s="123" t="s">
        <v>5</v>
      </c>
      <c r="C6" s="123" t="s">
        <v>6</v>
      </c>
      <c r="D6" s="123" t="s">
        <v>7</v>
      </c>
      <c r="E6" s="123"/>
      <c r="F6" s="140" t="s">
        <v>8</v>
      </c>
      <c r="G6" s="140"/>
      <c r="H6" s="93"/>
      <c r="I6" s="93"/>
      <c r="J6" s="151"/>
      <c r="K6" s="152"/>
      <c r="L6" s="152"/>
      <c r="M6" s="153"/>
    </row>
    <row r="7" spans="1:15" x14ac:dyDescent="0.15">
      <c r="A7" s="124">
        <v>1</v>
      </c>
      <c r="B7" s="124">
        <v>808</v>
      </c>
      <c r="C7" s="124">
        <v>8</v>
      </c>
      <c r="D7" s="124">
        <v>23.3</v>
      </c>
      <c r="E7" s="124"/>
      <c r="F7" s="141" t="s">
        <v>116</v>
      </c>
      <c r="G7" s="141"/>
      <c r="I7" s="97"/>
    </row>
    <row r="8" spans="1:15" ht="12.75" customHeight="1" x14ac:dyDescent="0.15">
      <c r="J8" s="112" t="s">
        <v>117</v>
      </c>
      <c r="K8" s="113" t="s">
        <v>116</v>
      </c>
      <c r="L8" s="113">
        <v>23.3</v>
      </c>
      <c r="M8" s="114">
        <v>5740600</v>
      </c>
      <c r="N8" s="115" t="s">
        <v>0</v>
      </c>
      <c r="O8" s="105"/>
    </row>
    <row r="9" spans="1:15" ht="12.75" customHeight="1" x14ac:dyDescent="0.2">
      <c r="J9" s="103"/>
      <c r="K9" s="103"/>
      <c r="L9" s="103"/>
      <c r="M9" s="103"/>
      <c r="N9" s="104"/>
      <c r="O9" s="105"/>
    </row>
    <row r="10" spans="1:15" x14ac:dyDescent="0.15">
      <c r="A10" s="10" t="s">
        <v>10</v>
      </c>
      <c r="B10" s="10"/>
      <c r="C10" s="11"/>
      <c r="D10" s="12"/>
      <c r="E10" s="12"/>
      <c r="F10" s="13" t="s">
        <v>11</v>
      </c>
      <c r="G10" s="91">
        <v>5740600</v>
      </c>
      <c r="H10" s="100">
        <f>G10/1.12</f>
        <v>5125535.7142857136</v>
      </c>
      <c r="I10" s="97"/>
      <c r="J10" s="107"/>
      <c r="K10" s="108"/>
      <c r="L10" s="108"/>
      <c r="M10" s="108"/>
      <c r="N10" s="109"/>
      <c r="O10" s="108"/>
    </row>
    <row r="11" spans="1:15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615064.29</v>
      </c>
      <c r="J11" s="110"/>
      <c r="K11" s="110"/>
      <c r="L11" s="110"/>
      <c r="M11" s="110"/>
      <c r="N11" s="110"/>
      <c r="O11" s="110"/>
    </row>
    <row r="12" spans="1:15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11"/>
      <c r="K12" s="110"/>
      <c r="L12" s="110"/>
      <c r="M12" s="110"/>
      <c r="N12" s="110"/>
      <c r="O12" s="110"/>
    </row>
    <row r="13" spans="1:15" hidden="1" x14ac:dyDescent="0.15">
      <c r="B13" s="1" t="s">
        <v>14</v>
      </c>
      <c r="G13" s="18">
        <v>0</v>
      </c>
      <c r="I13" s="18"/>
      <c r="J13" s="111"/>
      <c r="K13" s="110"/>
      <c r="L13" s="110"/>
      <c r="M13" s="110"/>
      <c r="N13" s="110"/>
      <c r="O13" s="110"/>
    </row>
    <row r="14" spans="1:15" hidden="1" x14ac:dyDescent="0.15">
      <c r="B14" s="1" t="s">
        <v>15</v>
      </c>
      <c r="G14" s="18">
        <v>0</v>
      </c>
      <c r="I14" s="18"/>
      <c r="J14" s="111"/>
      <c r="K14" s="110"/>
      <c r="L14" s="110"/>
      <c r="M14" s="110"/>
      <c r="N14" s="110"/>
      <c r="O14" s="110"/>
    </row>
    <row r="15" spans="1:15" ht="14" x14ac:dyDescent="0.2">
      <c r="B15" s="41" t="s">
        <v>118</v>
      </c>
      <c r="C15" s="41"/>
      <c r="D15" s="38" t="s">
        <v>119</v>
      </c>
      <c r="E15"/>
      <c r="F15"/>
      <c r="G15" s="18">
        <v>20000</v>
      </c>
      <c r="H15" s="100">
        <f>SUM(G11+G15)</f>
        <v>635064.29</v>
      </c>
      <c r="I15" s="18"/>
      <c r="J15" s="110"/>
      <c r="K15" s="110"/>
      <c r="L15" s="110"/>
      <c r="M15" s="110"/>
      <c r="N15" s="110"/>
      <c r="O15" s="110"/>
    </row>
    <row r="16" spans="1:15" hidden="1" x14ac:dyDescent="0.15">
      <c r="B16" s="1" t="s">
        <v>18</v>
      </c>
      <c r="G16" s="18">
        <v>0</v>
      </c>
      <c r="I16" s="18"/>
      <c r="J16" s="110"/>
      <c r="K16" s="110"/>
      <c r="L16" s="110"/>
      <c r="M16" s="110"/>
      <c r="N16" s="110"/>
      <c r="O16" s="110"/>
    </row>
    <row r="17" spans="1:15" hidden="1" x14ac:dyDescent="0.15">
      <c r="B17" s="1" t="s">
        <v>19</v>
      </c>
      <c r="G17" s="18">
        <v>0</v>
      </c>
      <c r="I17" s="18"/>
      <c r="J17" s="110"/>
      <c r="K17" s="110"/>
      <c r="L17" s="110"/>
      <c r="M17" s="110"/>
      <c r="N17" s="110"/>
      <c r="O17" s="110"/>
    </row>
    <row r="18" spans="1:15" hidden="1" x14ac:dyDescent="0.15">
      <c r="B18" s="1" t="s">
        <v>20</v>
      </c>
      <c r="G18" s="18">
        <v>0</v>
      </c>
      <c r="H18" s="18"/>
      <c r="I18" s="18"/>
      <c r="J18" s="111"/>
      <c r="K18" s="110"/>
      <c r="L18" s="110"/>
      <c r="M18" s="110"/>
      <c r="N18" s="110"/>
      <c r="O18" s="110"/>
    </row>
    <row r="19" spans="1:15" hidden="1" x14ac:dyDescent="0.15">
      <c r="B19" s="1" t="s">
        <v>21</v>
      </c>
      <c r="G19" s="18">
        <v>0</v>
      </c>
      <c r="J19" s="111"/>
      <c r="K19" s="110"/>
      <c r="L19" s="110"/>
      <c r="M19" s="110"/>
      <c r="N19" s="110"/>
      <c r="O19" s="110"/>
    </row>
    <row r="20" spans="1:15" hidden="1" x14ac:dyDescent="0.15">
      <c r="B20" s="1" t="s">
        <v>22</v>
      </c>
      <c r="G20" s="18">
        <v>0</v>
      </c>
      <c r="J20" s="111"/>
      <c r="K20" s="110"/>
      <c r="L20" s="110"/>
      <c r="M20" s="110"/>
      <c r="N20" s="110"/>
      <c r="O20" s="110"/>
    </row>
    <row r="21" spans="1:15" hidden="1" x14ac:dyDescent="0.15">
      <c r="B21" s="1" t="s">
        <v>23</v>
      </c>
      <c r="G21" s="18">
        <v>0</v>
      </c>
      <c r="J21" s="111"/>
      <c r="K21" s="110"/>
      <c r="L21" s="110"/>
      <c r="M21" s="110"/>
      <c r="N21" s="110"/>
      <c r="O21" s="110"/>
    </row>
    <row r="22" spans="1:15" hidden="1" x14ac:dyDescent="0.15">
      <c r="B22" s="1" t="s">
        <v>24</v>
      </c>
      <c r="G22" s="18">
        <v>0</v>
      </c>
      <c r="J22" s="111"/>
      <c r="K22" s="110"/>
      <c r="L22" s="110"/>
      <c r="M22" s="110"/>
      <c r="N22" s="110"/>
      <c r="O22" s="110"/>
    </row>
    <row r="23" spans="1:15" ht="13.5" customHeight="1" x14ac:dyDescent="0.15">
      <c r="F23" s="15"/>
      <c r="G23" s="19"/>
      <c r="H23" s="100">
        <f>G10-H15</f>
        <v>5105535.71</v>
      </c>
      <c r="J23" s="111"/>
      <c r="K23" s="110"/>
      <c r="L23" s="110"/>
      <c r="M23" s="110"/>
      <c r="N23" s="110"/>
      <c r="O23" s="110"/>
    </row>
    <row r="24" spans="1:15" ht="13.5" customHeight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5105535.71</v>
      </c>
      <c r="J24" s="110"/>
      <c r="K24" s="110"/>
      <c r="L24" s="110"/>
      <c r="M24" s="110"/>
      <c r="N24" s="110"/>
      <c r="O24" s="110"/>
    </row>
    <row r="25" spans="1:15" x14ac:dyDescent="0.15">
      <c r="A25" s="1" t="s">
        <v>26</v>
      </c>
      <c r="B25" s="1" t="s">
        <v>13</v>
      </c>
      <c r="G25" s="18">
        <f>ROUND(IF(ISERROR(FIND("PARKING",Model,1)),IF(G24&gt;3199200,G24*12%,0),G24*12%),2)</f>
        <v>612664.29</v>
      </c>
      <c r="I25" s="18"/>
      <c r="J25" s="110"/>
      <c r="K25" s="110"/>
      <c r="L25" s="110"/>
      <c r="M25" s="110"/>
      <c r="N25" s="110"/>
      <c r="O25" s="110"/>
    </row>
    <row r="26" spans="1:15" hidden="1" x14ac:dyDescent="0.15">
      <c r="A26" s="17">
        <v>7</v>
      </c>
      <c r="B26" s="1" t="s">
        <v>27</v>
      </c>
      <c r="G26" s="18">
        <f>ROUND(G24*(A26/100),2)</f>
        <v>357387.5</v>
      </c>
      <c r="J26" s="110"/>
      <c r="K26" s="110"/>
      <c r="L26" s="110"/>
      <c r="M26" s="110"/>
      <c r="N26" s="110"/>
      <c r="O26" s="110"/>
    </row>
    <row r="27" spans="1:15" hidden="1" x14ac:dyDescent="0.15">
      <c r="A27" s="17"/>
      <c r="B27" s="1" t="s">
        <v>28</v>
      </c>
      <c r="F27" s="17">
        <f>IF(G27&gt;50000,50000,G27)</f>
        <v>0</v>
      </c>
      <c r="G27" s="18">
        <v>0</v>
      </c>
      <c r="J27" s="110"/>
      <c r="K27" s="110"/>
      <c r="L27" s="110"/>
      <c r="M27" s="110"/>
      <c r="N27" s="110"/>
      <c r="O27" s="110"/>
    </row>
    <row r="28" spans="1:15" hidden="1" x14ac:dyDescent="0.15">
      <c r="A28" s="17"/>
      <c r="B28" s="1" t="s">
        <v>29</v>
      </c>
      <c r="G28" s="18">
        <v>0</v>
      </c>
      <c r="J28" s="110"/>
      <c r="K28" s="110"/>
      <c r="L28" s="110"/>
      <c r="M28" s="110"/>
      <c r="N28" s="110"/>
      <c r="O28" s="110"/>
    </row>
    <row r="29" spans="1:15" ht="13.5" customHeight="1" x14ac:dyDescent="0.15">
      <c r="A29" s="17"/>
      <c r="B29" s="1" t="s">
        <v>27</v>
      </c>
      <c r="G29" s="18">
        <f>ROUND(SUM(G26,G28,F27),2)</f>
        <v>357387.5</v>
      </c>
      <c r="J29" s="110"/>
      <c r="K29" s="110"/>
      <c r="L29" s="110"/>
      <c r="M29" s="110"/>
      <c r="N29" s="110"/>
      <c r="O29" s="110"/>
    </row>
    <row r="30" spans="1:15" ht="13.5" customHeight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6075587.5</v>
      </c>
      <c r="J30" s="110"/>
      <c r="K30" s="110"/>
      <c r="L30" s="110"/>
      <c r="M30" s="110"/>
      <c r="N30" s="110"/>
      <c r="O30" s="110"/>
    </row>
    <row r="31" spans="1:15" ht="12.75" customHeight="1" x14ac:dyDescent="0.15">
      <c r="J31" s="110"/>
      <c r="K31" s="110"/>
      <c r="L31" s="110"/>
      <c r="M31" s="110"/>
      <c r="N31" s="110"/>
      <c r="O31" s="110"/>
    </row>
    <row r="32" spans="1:15" x14ac:dyDescent="0.15">
      <c r="A32" s="22" t="s">
        <v>31</v>
      </c>
      <c r="J32" s="110"/>
      <c r="K32" s="110"/>
      <c r="L32" s="110"/>
      <c r="M32" s="110"/>
      <c r="N32" s="110"/>
      <c r="O32" s="110"/>
    </row>
    <row r="33" spans="1:15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1143640</v>
      </c>
      <c r="J33" s="111"/>
      <c r="K33" s="110"/>
      <c r="L33" s="110"/>
      <c r="M33" s="110"/>
      <c r="N33" s="110"/>
      <c r="O33" s="110"/>
    </row>
    <row r="34" spans="1:15" ht="13.5" customHeight="1" x14ac:dyDescent="0.15">
      <c r="A34" s="22"/>
      <c r="B34" s="1" t="s">
        <v>32</v>
      </c>
      <c r="G34" s="18">
        <f>ROUND(G29*(A33/100),2)</f>
        <v>71477.5</v>
      </c>
      <c r="J34" s="24"/>
    </row>
    <row r="35" spans="1:15" ht="13.5" customHeight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1215117.5</v>
      </c>
    </row>
    <row r="36" spans="1:15" ht="13.5" customHeight="1" x14ac:dyDescent="0.15">
      <c r="A36" s="1" t="s">
        <v>12</v>
      </c>
      <c r="B36" s="1" t="s">
        <v>34</v>
      </c>
      <c r="F36" s="25">
        <f ca="1">NOW()</f>
        <v>44075.451322222223</v>
      </c>
      <c r="G36" s="18">
        <v>20000</v>
      </c>
    </row>
    <row r="37" spans="1:15" ht="13.5" customHeight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1195117.5</v>
      </c>
    </row>
    <row r="38" spans="1:15" x14ac:dyDescent="0.15">
      <c r="A38" s="17">
        <v>0</v>
      </c>
    </row>
    <row r="39" spans="1:15" ht="25.5" customHeight="1" x14ac:dyDescent="0.15">
      <c r="A39" s="27">
        <v>24</v>
      </c>
      <c r="B39" s="142" t="s">
        <v>36</v>
      </c>
      <c r="C39" s="142"/>
      <c r="D39" s="125" t="s">
        <v>37</v>
      </c>
      <c r="E39" s="28" t="s">
        <v>38</v>
      </c>
      <c r="F39" s="29" t="s">
        <v>27</v>
      </c>
      <c r="G39" s="30" t="s">
        <v>39</v>
      </c>
    </row>
    <row r="40" spans="1:15" x14ac:dyDescent="0.15">
      <c r="A40" s="134" t="s">
        <v>40</v>
      </c>
      <c r="B40" s="134"/>
      <c r="C40" s="134"/>
      <c r="D40" s="106">
        <f ca="1">F36+60</f>
        <v>44135.451322222223</v>
      </c>
      <c r="E40" s="16">
        <f>ROUND((G35-G36-G34)/A39,2)</f>
        <v>46818.33</v>
      </c>
      <c r="F40" s="32">
        <f>ROUND(SUM(G34:G34)/A39,2)</f>
        <v>2978.23</v>
      </c>
      <c r="G40" s="18">
        <f>SUM(E40:F40)</f>
        <v>49796.560000000005</v>
      </c>
    </row>
    <row r="41" spans="1:15" x14ac:dyDescent="0.15">
      <c r="A41" s="134" t="s">
        <v>41</v>
      </c>
      <c r="B41" s="134"/>
      <c r="C41" s="134"/>
      <c r="D41" s="31">
        <v>44045</v>
      </c>
      <c r="E41" s="16">
        <f>IF($A$39&lt;VALUE(LEFT(A41,1))," ",IF($A$39=VALUE(LEFT(A41,1)),($G$35-$G$36-$G$34)-($E$40*($A$39-1)),E40))</f>
        <v>46818.33</v>
      </c>
      <c r="F41" s="32">
        <f>IF($A$39&lt;VALUE(LEFT(A41,1))," ",IF($A$39=VALUE(LEFT(A41,1)),$G$34-($F$40*($A$39-1)),F40))</f>
        <v>2978.23</v>
      </c>
      <c r="G41" s="18">
        <f>IF($A$39&lt;VALUE(LEFT(A41,1))," ",SUM(E41:F41))</f>
        <v>49796.560000000005</v>
      </c>
    </row>
    <row r="42" spans="1:15" x14ac:dyDescent="0.15">
      <c r="A42" s="134" t="s">
        <v>42</v>
      </c>
      <c r="B42" s="134"/>
      <c r="C42" s="134"/>
      <c r="D42" s="31">
        <v>44076</v>
      </c>
      <c r="E42" s="16">
        <f t="shared" ref="E42:E48" si="0">IF($A$39&lt;VALUE(LEFT(A42,1))," ",IF($A$39=VALUE(LEFT(A42,1)),($G$35-$G$36-$G$34)-($E$40*($A$39-1)),E41))</f>
        <v>46818.33</v>
      </c>
      <c r="F42" s="32">
        <f t="shared" ref="F42:F48" si="1">IF($A$39&lt;VALUE(LEFT(A42,1))," ",IF($A$39=VALUE(LEFT(A42,1)),$G$34-($F$40*($A$39-1)),F41))</f>
        <v>2978.23</v>
      </c>
      <c r="G42" s="18">
        <f t="shared" ref="G42:G48" si="2">IF($A$39&lt;VALUE(LEFT(A42,1))," ",SUM(E42:F42))</f>
        <v>49796.560000000005</v>
      </c>
    </row>
    <row r="43" spans="1:15" x14ac:dyDescent="0.15">
      <c r="A43" s="134" t="s">
        <v>43</v>
      </c>
      <c r="B43" s="134"/>
      <c r="C43" s="134"/>
      <c r="D43" s="31">
        <v>44106</v>
      </c>
      <c r="E43" s="16">
        <f t="shared" si="0"/>
        <v>46818.33</v>
      </c>
      <c r="F43" s="32">
        <f t="shared" si="1"/>
        <v>2978.23</v>
      </c>
      <c r="G43" s="18">
        <f t="shared" si="2"/>
        <v>49796.560000000005</v>
      </c>
    </row>
    <row r="44" spans="1:15" x14ac:dyDescent="0.15">
      <c r="A44" s="134" t="s">
        <v>44</v>
      </c>
      <c r="B44" s="134"/>
      <c r="C44" s="134"/>
      <c r="D44" s="31">
        <v>44137</v>
      </c>
      <c r="E44" s="16">
        <f t="shared" si="0"/>
        <v>46818.33</v>
      </c>
      <c r="F44" s="32">
        <f t="shared" si="1"/>
        <v>2978.23</v>
      </c>
      <c r="G44" s="18">
        <f t="shared" si="2"/>
        <v>49796.560000000005</v>
      </c>
    </row>
    <row r="45" spans="1:15" x14ac:dyDescent="0.15">
      <c r="A45" s="134" t="s">
        <v>45</v>
      </c>
      <c r="B45" s="134"/>
      <c r="C45" s="134"/>
      <c r="D45" s="31">
        <v>44167</v>
      </c>
      <c r="E45" s="16">
        <f t="shared" si="0"/>
        <v>46818.33</v>
      </c>
      <c r="F45" s="32">
        <f t="shared" si="1"/>
        <v>2978.23</v>
      </c>
      <c r="G45" s="18">
        <f t="shared" si="2"/>
        <v>49796.560000000005</v>
      </c>
    </row>
    <row r="46" spans="1:15" x14ac:dyDescent="0.15">
      <c r="A46" s="134" t="s">
        <v>46</v>
      </c>
      <c r="B46" s="134"/>
      <c r="C46" s="134"/>
      <c r="D46" s="31">
        <v>44198</v>
      </c>
      <c r="E46" s="16">
        <f t="shared" si="0"/>
        <v>46818.33</v>
      </c>
      <c r="F46" s="32">
        <f t="shared" si="1"/>
        <v>2978.23</v>
      </c>
      <c r="G46" s="18">
        <f t="shared" si="2"/>
        <v>49796.560000000005</v>
      </c>
    </row>
    <row r="47" spans="1:15" x14ac:dyDescent="0.15">
      <c r="A47" s="134" t="s">
        <v>47</v>
      </c>
      <c r="B47" s="134"/>
      <c r="C47" s="134"/>
      <c r="D47" s="31">
        <v>44229</v>
      </c>
      <c r="E47" s="16">
        <f t="shared" si="0"/>
        <v>46818.33</v>
      </c>
      <c r="F47" s="32">
        <f t="shared" si="1"/>
        <v>2978.23</v>
      </c>
      <c r="G47" s="18">
        <f t="shared" si="2"/>
        <v>49796.560000000005</v>
      </c>
    </row>
    <row r="48" spans="1:15" x14ac:dyDescent="0.15">
      <c r="A48" s="134" t="s">
        <v>48</v>
      </c>
      <c r="B48" s="134"/>
      <c r="C48" s="134"/>
      <c r="D48" s="31">
        <v>44257</v>
      </c>
      <c r="E48" s="16">
        <f t="shared" si="0"/>
        <v>46818.33</v>
      </c>
      <c r="F48" s="32">
        <f t="shared" si="1"/>
        <v>2978.23</v>
      </c>
      <c r="G48" s="18">
        <f t="shared" si="2"/>
        <v>49796.560000000005</v>
      </c>
    </row>
    <row r="49" spans="1:7" x14ac:dyDescent="0.15">
      <c r="A49" s="134" t="s">
        <v>49</v>
      </c>
      <c r="B49" s="134"/>
      <c r="C49" s="134"/>
      <c r="D49" s="31">
        <v>44288</v>
      </c>
      <c r="E49" s="16">
        <f>IF($A$39&lt;VALUE(LEFT(A49,2))," ",IF($A$39=VALUE(LEFT(A49,2)),($G$35-$G$36-$G$34)-($E$40*($A$39-1)),E48))</f>
        <v>46818.33</v>
      </c>
      <c r="F49" s="32">
        <f>IF($A$39&lt;VALUE(LEFT(A49,2))," ",IF($A$39=VALUE(LEFT(A49,2)),$G$34-($F$40*($A$39-1)),F48))</f>
        <v>2978.23</v>
      </c>
      <c r="G49" s="18">
        <f>IF($A$39&lt;VALUE(LEFT(A49,2))," ",SUM(E49:F49))</f>
        <v>49796.560000000005</v>
      </c>
    </row>
    <row r="50" spans="1:7" x14ac:dyDescent="0.15">
      <c r="A50" s="134" t="s">
        <v>50</v>
      </c>
      <c r="B50" s="134"/>
      <c r="C50" s="134"/>
      <c r="D50" s="31">
        <v>44318</v>
      </c>
      <c r="E50" s="16">
        <f t="shared" ref="E50:E62" si="3">IF($A$39&lt;VALUE(LEFT(A50,2))," ",IF($A$39=VALUE(LEFT(A50,2)),($G$35-$G$36-$G$34)-($E$40*($A$39-1)),E49))</f>
        <v>46818.33</v>
      </c>
      <c r="F50" s="32">
        <f t="shared" ref="F50:F62" si="4">IF($A$39&lt;VALUE(LEFT(A50,2))," ",IF($A$39=VALUE(LEFT(A50,2)),$G$34-($F$40*($A$39-1)),F49))</f>
        <v>2978.23</v>
      </c>
      <c r="G50" s="18">
        <f t="shared" ref="G50:G62" si="5">IF($A$39&lt;VALUE(LEFT(A50,2))," ",SUM(E50:F50))</f>
        <v>49796.560000000005</v>
      </c>
    </row>
    <row r="51" spans="1:7" x14ac:dyDescent="0.15">
      <c r="A51" s="134" t="s">
        <v>51</v>
      </c>
      <c r="B51" s="134"/>
      <c r="C51" s="134"/>
      <c r="D51" s="31">
        <v>44349</v>
      </c>
      <c r="E51" s="16">
        <f t="shared" si="3"/>
        <v>46818.33</v>
      </c>
      <c r="F51" s="32">
        <f t="shared" si="4"/>
        <v>2978.23</v>
      </c>
      <c r="G51" s="18">
        <f t="shared" si="5"/>
        <v>49796.560000000005</v>
      </c>
    </row>
    <row r="52" spans="1:7" x14ac:dyDescent="0.15">
      <c r="A52" s="134" t="s">
        <v>52</v>
      </c>
      <c r="B52" s="134"/>
      <c r="C52" s="134"/>
      <c r="D52" s="31">
        <v>44379</v>
      </c>
      <c r="E52" s="16">
        <f t="shared" si="3"/>
        <v>46818.33</v>
      </c>
      <c r="F52" s="32">
        <f t="shared" si="4"/>
        <v>2978.23</v>
      </c>
      <c r="G52" s="18">
        <f t="shared" si="5"/>
        <v>49796.560000000005</v>
      </c>
    </row>
    <row r="53" spans="1:7" x14ac:dyDescent="0.15">
      <c r="A53" s="134" t="s">
        <v>53</v>
      </c>
      <c r="B53" s="134"/>
      <c r="C53" s="134"/>
      <c r="D53" s="31">
        <v>44410</v>
      </c>
      <c r="E53" s="16">
        <f t="shared" si="3"/>
        <v>46818.33</v>
      </c>
      <c r="F53" s="32">
        <f t="shared" si="4"/>
        <v>2978.23</v>
      </c>
      <c r="G53" s="18">
        <f t="shared" si="5"/>
        <v>49796.560000000005</v>
      </c>
    </row>
    <row r="54" spans="1:7" x14ac:dyDescent="0.15">
      <c r="A54" s="134" t="s">
        <v>54</v>
      </c>
      <c r="B54" s="134"/>
      <c r="C54" s="134"/>
      <c r="D54" s="31">
        <v>44441</v>
      </c>
      <c r="E54" s="16">
        <f t="shared" si="3"/>
        <v>46818.33</v>
      </c>
      <c r="F54" s="32">
        <f t="shared" si="4"/>
        <v>2978.23</v>
      </c>
      <c r="G54" s="18">
        <f t="shared" si="5"/>
        <v>49796.560000000005</v>
      </c>
    </row>
    <row r="55" spans="1:7" x14ac:dyDescent="0.15">
      <c r="A55" s="134" t="s">
        <v>55</v>
      </c>
      <c r="B55" s="134"/>
      <c r="C55" s="134"/>
      <c r="D55" s="31">
        <v>44471</v>
      </c>
      <c r="E55" s="16">
        <f t="shared" si="3"/>
        <v>46818.33</v>
      </c>
      <c r="F55" s="32">
        <f t="shared" si="4"/>
        <v>2978.23</v>
      </c>
      <c r="G55" s="18">
        <f t="shared" si="5"/>
        <v>49796.560000000005</v>
      </c>
    </row>
    <row r="56" spans="1:7" x14ac:dyDescent="0.15">
      <c r="A56" s="134" t="s">
        <v>56</v>
      </c>
      <c r="B56" s="134"/>
      <c r="C56" s="134"/>
      <c r="D56" s="31">
        <v>44502</v>
      </c>
      <c r="E56" s="16">
        <f t="shared" si="3"/>
        <v>46818.33</v>
      </c>
      <c r="F56" s="32">
        <f t="shared" si="4"/>
        <v>2978.23</v>
      </c>
      <c r="G56" s="18">
        <f t="shared" si="5"/>
        <v>49796.560000000005</v>
      </c>
    </row>
    <row r="57" spans="1:7" x14ac:dyDescent="0.15">
      <c r="A57" s="134" t="s">
        <v>57</v>
      </c>
      <c r="B57" s="134"/>
      <c r="C57" s="134"/>
      <c r="D57" s="31">
        <v>44532</v>
      </c>
      <c r="E57" s="16">
        <f t="shared" si="3"/>
        <v>46818.33</v>
      </c>
      <c r="F57" s="32">
        <f t="shared" si="4"/>
        <v>2978.23</v>
      </c>
      <c r="G57" s="18">
        <f t="shared" si="5"/>
        <v>49796.560000000005</v>
      </c>
    </row>
    <row r="58" spans="1:7" x14ac:dyDescent="0.15">
      <c r="A58" s="134" t="s">
        <v>58</v>
      </c>
      <c r="B58" s="134"/>
      <c r="C58" s="134"/>
      <c r="D58" s="31">
        <v>44563</v>
      </c>
      <c r="E58" s="16">
        <f t="shared" si="3"/>
        <v>46818.33</v>
      </c>
      <c r="F58" s="32">
        <f t="shared" si="4"/>
        <v>2978.23</v>
      </c>
      <c r="G58" s="18">
        <f t="shared" si="5"/>
        <v>49796.560000000005</v>
      </c>
    </row>
    <row r="59" spans="1:7" x14ac:dyDescent="0.15">
      <c r="A59" s="134" t="s">
        <v>59</v>
      </c>
      <c r="B59" s="134"/>
      <c r="C59" s="134"/>
      <c r="D59" s="31">
        <v>44594</v>
      </c>
      <c r="E59" s="16">
        <f t="shared" si="3"/>
        <v>46818.33</v>
      </c>
      <c r="F59" s="32">
        <f t="shared" si="4"/>
        <v>2978.23</v>
      </c>
      <c r="G59" s="18">
        <f t="shared" si="5"/>
        <v>49796.560000000005</v>
      </c>
    </row>
    <row r="60" spans="1:7" x14ac:dyDescent="0.15">
      <c r="A60" s="134" t="s">
        <v>60</v>
      </c>
      <c r="B60" s="134"/>
      <c r="C60" s="134"/>
      <c r="D60" s="31">
        <v>44622</v>
      </c>
      <c r="E60" s="16">
        <f t="shared" si="3"/>
        <v>46818.33</v>
      </c>
      <c r="F60" s="32">
        <f t="shared" si="4"/>
        <v>2978.23</v>
      </c>
      <c r="G60" s="18">
        <f t="shared" si="5"/>
        <v>49796.560000000005</v>
      </c>
    </row>
    <row r="61" spans="1:7" x14ac:dyDescent="0.15">
      <c r="A61" s="134" t="s">
        <v>61</v>
      </c>
      <c r="B61" s="134"/>
      <c r="C61" s="134"/>
      <c r="D61" s="31">
        <v>44653</v>
      </c>
      <c r="E61" s="16">
        <f t="shared" si="3"/>
        <v>46818.33</v>
      </c>
      <c r="F61" s="32">
        <f t="shared" si="4"/>
        <v>2978.23</v>
      </c>
      <c r="G61" s="18">
        <f t="shared" si="5"/>
        <v>49796.560000000005</v>
      </c>
    </row>
    <row r="62" spans="1:7" x14ac:dyDescent="0.15">
      <c r="A62" s="134" t="s">
        <v>62</v>
      </c>
      <c r="B62" s="134"/>
      <c r="C62" s="134"/>
      <c r="D62" s="31">
        <v>44683</v>
      </c>
      <c r="E62" s="16">
        <f t="shared" si="3"/>
        <v>46818.33</v>
      </c>
      <c r="F62" s="32">
        <f t="shared" si="4"/>
        <v>2978.23</v>
      </c>
      <c r="G62" s="18">
        <f t="shared" si="5"/>
        <v>49796.560000000005</v>
      </c>
    </row>
    <row r="63" spans="1:7" x14ac:dyDescent="0.15">
      <c r="A63" s="134" t="s">
        <v>63</v>
      </c>
      <c r="B63" s="134"/>
      <c r="C63" s="134"/>
      <c r="D63" s="31">
        <v>44714</v>
      </c>
      <c r="E63" s="16">
        <f>IF($A$39&lt;VALUE(LEFT(A63,2))," ",IF($A$39=VALUE(LEFT(A63,2)),($G$35-$G$36-$G$34)-($E$40*($A$39-1)),E62))</f>
        <v>46818.409999999916</v>
      </c>
      <c r="F63" s="32">
        <f>IF($A$39&lt;VALUE(LEFT(A63,2))," ",IF($A$39=VALUE(LEFT(A63,2)),$G$34-($F$40*($A$39-1)),F62))</f>
        <v>2978.2100000000064</v>
      </c>
      <c r="G63" s="18">
        <f>IF($A$39&lt;VALUE(LEFT(A63,2))," ",SUM(E63:F63))</f>
        <v>49796.619999999923</v>
      </c>
    </row>
    <row r="64" spans="1:7" hidden="1" x14ac:dyDescent="0.15">
      <c r="A64" s="134" t="s">
        <v>64</v>
      </c>
      <c r="B64" s="134"/>
      <c r="C64" s="134"/>
      <c r="D64" s="31">
        <v>44532</v>
      </c>
      <c r="E64" s="16" t="str">
        <f t="shared" ref="E64:E73" si="6">IF($A$39&lt;VALUE(LEFT(A64,2))," ",IF($A$39=VALUE(LEFT(A64,2)),($G$35-$G$36-$G$34)-($E$40*($A$39-1)),E63))</f>
        <v xml:space="preserve"> </v>
      </c>
      <c r="F64" s="32" t="str">
        <f t="shared" ref="F64:F73" si="7">IF($A$39&lt;VALUE(LEFT(A64,2))," ",IF($A$39=VALUE(LEFT(A64,2)),$G$34-($F$40*($A$39-1)),F63))</f>
        <v xml:space="preserve"> </v>
      </c>
      <c r="G64" s="18" t="str">
        <f t="shared" ref="G64:G73" si="8">IF($A$39&lt;VALUE(LEFT(A64,2))," ",SUM(E64:F64))</f>
        <v xml:space="preserve"> </v>
      </c>
    </row>
    <row r="65" spans="1:7" hidden="1" x14ac:dyDescent="0.15">
      <c r="A65" s="134" t="s">
        <v>65</v>
      </c>
      <c r="B65" s="134"/>
      <c r="C65" s="134"/>
      <c r="D65" s="31">
        <v>44563</v>
      </c>
      <c r="E65" s="16" t="str">
        <f t="shared" si="6"/>
        <v xml:space="preserve"> </v>
      </c>
      <c r="F65" s="32" t="str">
        <f t="shared" si="7"/>
        <v xml:space="preserve"> </v>
      </c>
      <c r="G65" s="18" t="str">
        <f t="shared" si="8"/>
        <v xml:space="preserve"> </v>
      </c>
    </row>
    <row r="66" spans="1:7" hidden="1" x14ac:dyDescent="0.15">
      <c r="A66" s="134" t="s">
        <v>66</v>
      </c>
      <c r="B66" s="134"/>
      <c r="C66" s="134"/>
      <c r="D66" s="31">
        <v>44594</v>
      </c>
      <c r="E66" s="16" t="str">
        <f t="shared" si="6"/>
        <v xml:space="preserve"> </v>
      </c>
      <c r="F66" s="32" t="str">
        <f t="shared" si="7"/>
        <v xml:space="preserve"> </v>
      </c>
      <c r="G66" s="18" t="str">
        <f t="shared" si="8"/>
        <v xml:space="preserve"> </v>
      </c>
    </row>
    <row r="67" spans="1:7" hidden="1" x14ac:dyDescent="0.15">
      <c r="A67" s="134" t="s">
        <v>67</v>
      </c>
      <c r="B67" s="134"/>
      <c r="C67" s="134"/>
      <c r="D67" s="31">
        <v>44622</v>
      </c>
      <c r="E67" s="16" t="str">
        <f t="shared" si="6"/>
        <v xml:space="preserve"> </v>
      </c>
      <c r="F67" s="32" t="str">
        <f t="shared" si="7"/>
        <v xml:space="preserve"> </v>
      </c>
      <c r="G67" s="18" t="str">
        <f t="shared" si="8"/>
        <v xml:space="preserve"> </v>
      </c>
    </row>
    <row r="68" spans="1:7" hidden="1" x14ac:dyDescent="0.15">
      <c r="A68" s="134" t="s">
        <v>68</v>
      </c>
      <c r="B68" s="134"/>
      <c r="C68" s="134"/>
      <c r="D68" s="31">
        <v>44653</v>
      </c>
      <c r="E68" s="16" t="str">
        <f t="shared" si="6"/>
        <v xml:space="preserve"> </v>
      </c>
      <c r="F68" s="32" t="str">
        <f t="shared" si="7"/>
        <v xml:space="preserve"> </v>
      </c>
      <c r="G68" s="18" t="str">
        <f t="shared" si="8"/>
        <v xml:space="preserve"> </v>
      </c>
    </row>
    <row r="69" spans="1:7" hidden="1" x14ac:dyDescent="0.15">
      <c r="A69" s="134" t="s">
        <v>69</v>
      </c>
      <c r="B69" s="134"/>
      <c r="C69" s="134"/>
      <c r="D69" s="31">
        <v>44683</v>
      </c>
      <c r="E69" s="16" t="str">
        <f t="shared" si="6"/>
        <v xml:space="preserve"> </v>
      </c>
      <c r="F69" s="32" t="str">
        <f t="shared" si="7"/>
        <v xml:space="preserve"> </v>
      </c>
      <c r="G69" s="18" t="str">
        <f t="shared" si="8"/>
        <v xml:space="preserve"> </v>
      </c>
    </row>
    <row r="70" spans="1:7" hidden="1" x14ac:dyDescent="0.15">
      <c r="A70" s="134" t="s">
        <v>70</v>
      </c>
      <c r="B70" s="134"/>
      <c r="C70" s="134"/>
      <c r="D70" s="31">
        <v>44714</v>
      </c>
      <c r="E70" s="16" t="str">
        <f t="shared" si="6"/>
        <v xml:space="preserve"> </v>
      </c>
      <c r="F70" s="32" t="str">
        <f t="shared" si="7"/>
        <v xml:space="preserve"> </v>
      </c>
      <c r="G70" s="18" t="str">
        <f t="shared" si="8"/>
        <v xml:space="preserve"> </v>
      </c>
    </row>
    <row r="71" spans="1:7" hidden="1" x14ac:dyDescent="0.15">
      <c r="A71" s="134" t="s">
        <v>71</v>
      </c>
      <c r="B71" s="134"/>
      <c r="C71" s="134"/>
      <c r="D71" s="31">
        <v>44744</v>
      </c>
      <c r="E71" s="16" t="str">
        <f t="shared" si="6"/>
        <v xml:space="preserve"> </v>
      </c>
      <c r="F71" s="32" t="str">
        <f t="shared" si="7"/>
        <v xml:space="preserve"> </v>
      </c>
      <c r="G71" s="18" t="str">
        <f t="shared" si="8"/>
        <v xml:space="preserve"> </v>
      </c>
    </row>
    <row r="72" spans="1:7" hidden="1" x14ac:dyDescent="0.15">
      <c r="A72" s="134" t="s">
        <v>72</v>
      </c>
      <c r="B72" s="134"/>
      <c r="C72" s="134"/>
      <c r="D72" s="31">
        <v>44775</v>
      </c>
      <c r="E72" s="16" t="str">
        <f t="shared" si="6"/>
        <v xml:space="preserve"> </v>
      </c>
      <c r="F72" s="32" t="str">
        <f t="shared" si="7"/>
        <v xml:space="preserve"> </v>
      </c>
      <c r="G72" s="18" t="str">
        <f t="shared" si="8"/>
        <v xml:space="preserve"> </v>
      </c>
    </row>
    <row r="73" spans="1:7" hidden="1" x14ac:dyDescent="0.15">
      <c r="A73" s="134" t="s">
        <v>73</v>
      </c>
      <c r="B73" s="134"/>
      <c r="C73" s="134"/>
      <c r="D73" s="31">
        <v>44806</v>
      </c>
      <c r="E73" s="16" t="str">
        <f t="shared" si="6"/>
        <v xml:space="preserve"> </v>
      </c>
      <c r="F73" s="32" t="str">
        <f t="shared" si="7"/>
        <v xml:space="preserve"> </v>
      </c>
      <c r="G73" s="18" t="str">
        <f t="shared" si="8"/>
        <v xml:space="preserve"> </v>
      </c>
    </row>
    <row r="74" spans="1:7" hidden="1" x14ac:dyDescent="0.15">
      <c r="A74" s="134" t="s">
        <v>74</v>
      </c>
      <c r="B74" s="134"/>
      <c r="C74" s="134"/>
      <c r="D74" s="31">
        <v>44836</v>
      </c>
      <c r="E74" s="16" t="str">
        <f>IF($A$39&lt;VALUE(LEFT(A74,2))," ",IF($A$39=VALUE(LEFT(A74,2)),($G$35-$G$36-$G$34)-($E$40*($A$39-1)),E73))</f>
        <v xml:space="preserve"> </v>
      </c>
      <c r="F74" s="32" t="str">
        <f>IF($A$39&lt;VALUE(LEFT(A74,2))," ",IF($A$39=VALUE(LEFT(A74,2)),$G$34-($F$40*($A$39-1)),F73))</f>
        <v xml:space="preserve"> </v>
      </c>
      <c r="G74" s="18" t="str">
        <f>IF($A$39&lt;VALUE(LEFT(A74,2))," ",SUM(E74:F74))</f>
        <v xml:space="preserve"> </v>
      </c>
    </row>
    <row r="75" spans="1:7" hidden="1" x14ac:dyDescent="0.15">
      <c r="A75" s="134" t="s">
        <v>75</v>
      </c>
      <c r="B75" s="134"/>
      <c r="C75" s="134"/>
      <c r="D75" s="31">
        <v>44867</v>
      </c>
      <c r="E75" s="16" t="str">
        <f>IF($A$39&lt;VALUE(LEFT(A75,2))," ",IF($A$39=VALUE(LEFT(A75,2)),($G$35-$G$36-$G$34)-($E$40*($A$39-1)),E74))</f>
        <v xml:space="preserve"> </v>
      </c>
      <c r="F75" s="32" t="str">
        <f>IF($A$39&lt;VALUE(LEFT(A75,2))," ",IF($A$39=VALUE(LEFT(A75,2)),$G$34-($F$40*($A$39-1)),F74))</f>
        <v xml:space="preserve"> </v>
      </c>
      <c r="G75" s="18" t="str">
        <f>IF($A$39&lt;VALUE(LEFT(A75,2))," ",SUM(E75:F75))</f>
        <v xml:space="preserve"> </v>
      </c>
    </row>
    <row r="76" spans="1:7" hidden="1" x14ac:dyDescent="0.15">
      <c r="A76" s="134" t="s">
        <v>76</v>
      </c>
      <c r="B76" s="134"/>
      <c r="C76" s="134"/>
      <c r="D76" s="31">
        <v>44897</v>
      </c>
      <c r="E76" s="16" t="str">
        <f t="shared" ref="E76:E91" si="9">IF($A$39&lt;VALUE(LEFT(A76,2))," ",IF($A$39=VALUE(LEFT(A76,2)),($G$35-$G$36-$G$34)-($E$40*($A$39-1)),E75))</f>
        <v xml:space="preserve"> </v>
      </c>
      <c r="F76" s="32" t="str">
        <f t="shared" ref="F76:F91" si="10">IF($A$39&lt;VALUE(LEFT(A76,2))," ",IF($A$39=VALUE(LEFT(A76,2)),$G$34-($F$40*($A$39-1)),F75))</f>
        <v xml:space="preserve"> </v>
      </c>
      <c r="G76" s="18" t="str">
        <f t="shared" ref="G76:G91" si="11">IF($A$39&lt;VALUE(LEFT(A76,2))," ",SUM(E76:F76))</f>
        <v xml:space="preserve"> </v>
      </c>
    </row>
    <row r="77" spans="1:7" hidden="1" x14ac:dyDescent="0.15">
      <c r="A77" s="134" t="s">
        <v>77</v>
      </c>
      <c r="B77" s="134"/>
      <c r="C77" s="134"/>
      <c r="D77" s="31">
        <v>44928</v>
      </c>
      <c r="E77" s="16" t="str">
        <f t="shared" si="9"/>
        <v xml:space="preserve"> </v>
      </c>
      <c r="F77" s="32" t="str">
        <f t="shared" si="10"/>
        <v xml:space="preserve"> </v>
      </c>
      <c r="G77" s="18" t="str">
        <f t="shared" si="11"/>
        <v xml:space="preserve"> </v>
      </c>
    </row>
    <row r="78" spans="1:7" hidden="1" x14ac:dyDescent="0.15">
      <c r="A78" s="134" t="s">
        <v>78</v>
      </c>
      <c r="B78" s="134"/>
      <c r="C78" s="134"/>
      <c r="D78" s="31">
        <v>44959</v>
      </c>
      <c r="E78" s="16" t="str">
        <f t="shared" si="9"/>
        <v xml:space="preserve"> </v>
      </c>
      <c r="F78" s="32" t="str">
        <f t="shared" si="10"/>
        <v xml:space="preserve"> </v>
      </c>
      <c r="G78" s="18" t="str">
        <f t="shared" si="11"/>
        <v xml:space="preserve"> </v>
      </c>
    </row>
    <row r="79" spans="1:7" hidden="1" x14ac:dyDescent="0.15">
      <c r="A79" s="134" t="s">
        <v>79</v>
      </c>
      <c r="B79" s="134"/>
      <c r="C79" s="134"/>
      <c r="D79" s="31">
        <v>44987</v>
      </c>
      <c r="E79" s="16" t="str">
        <f t="shared" si="9"/>
        <v xml:space="preserve"> </v>
      </c>
      <c r="F79" s="32" t="str">
        <f t="shared" si="10"/>
        <v xml:space="preserve"> </v>
      </c>
      <c r="G79" s="18" t="str">
        <f t="shared" si="11"/>
        <v xml:space="preserve"> </v>
      </c>
    </row>
    <row r="80" spans="1:7" hidden="1" x14ac:dyDescent="0.15">
      <c r="A80" s="134" t="s">
        <v>80</v>
      </c>
      <c r="B80" s="134"/>
      <c r="C80" s="134"/>
      <c r="D80" s="31">
        <v>45018</v>
      </c>
      <c r="E80" s="16" t="str">
        <f t="shared" si="9"/>
        <v xml:space="preserve"> </v>
      </c>
      <c r="F80" s="32" t="str">
        <f t="shared" si="10"/>
        <v xml:space="preserve"> </v>
      </c>
      <c r="G80" s="18" t="str">
        <f t="shared" si="11"/>
        <v xml:space="preserve"> </v>
      </c>
    </row>
    <row r="81" spans="1:7" hidden="1" x14ac:dyDescent="0.15">
      <c r="A81" s="134" t="s">
        <v>81</v>
      </c>
      <c r="B81" s="134"/>
      <c r="C81" s="134"/>
      <c r="D81" s="31">
        <v>45048</v>
      </c>
      <c r="E81" s="16" t="str">
        <f t="shared" si="9"/>
        <v xml:space="preserve"> </v>
      </c>
      <c r="F81" s="32" t="str">
        <f t="shared" si="10"/>
        <v xml:space="preserve"> </v>
      </c>
      <c r="G81" s="18" t="str">
        <f t="shared" si="11"/>
        <v xml:space="preserve"> </v>
      </c>
    </row>
    <row r="82" spans="1:7" hidden="1" x14ac:dyDescent="0.15">
      <c r="A82" s="134" t="s">
        <v>82</v>
      </c>
      <c r="B82" s="134"/>
      <c r="C82" s="134"/>
      <c r="D82" s="31">
        <v>45079</v>
      </c>
      <c r="E82" s="16" t="str">
        <f t="shared" si="9"/>
        <v xml:space="preserve"> </v>
      </c>
      <c r="F82" s="32" t="str">
        <f t="shared" si="10"/>
        <v xml:space="preserve"> </v>
      </c>
      <c r="G82" s="18" t="str">
        <f t="shared" si="11"/>
        <v xml:space="preserve"> </v>
      </c>
    </row>
    <row r="83" spans="1:7" hidden="1" x14ac:dyDescent="0.15">
      <c r="A83" s="134" t="s">
        <v>83</v>
      </c>
      <c r="B83" s="134"/>
      <c r="C83" s="134"/>
      <c r="D83" s="31">
        <v>45109</v>
      </c>
      <c r="E83" s="16" t="str">
        <f t="shared" si="9"/>
        <v xml:space="preserve"> </v>
      </c>
      <c r="F83" s="32" t="str">
        <f t="shared" si="10"/>
        <v xml:space="preserve"> </v>
      </c>
      <c r="G83" s="18" t="str">
        <f t="shared" si="11"/>
        <v xml:space="preserve"> </v>
      </c>
    </row>
    <row r="84" spans="1:7" hidden="1" x14ac:dyDescent="0.15">
      <c r="A84" s="134" t="s">
        <v>84</v>
      </c>
      <c r="B84" s="134"/>
      <c r="C84" s="134"/>
      <c r="D84" s="31">
        <v>45140</v>
      </c>
      <c r="E84" s="16" t="str">
        <f t="shared" si="9"/>
        <v xml:space="preserve"> </v>
      </c>
      <c r="F84" s="32" t="str">
        <f t="shared" si="10"/>
        <v xml:space="preserve"> </v>
      </c>
      <c r="G84" s="18" t="str">
        <f t="shared" si="11"/>
        <v xml:space="preserve"> </v>
      </c>
    </row>
    <row r="85" spans="1:7" hidden="1" x14ac:dyDescent="0.15">
      <c r="A85" s="134" t="s">
        <v>85</v>
      </c>
      <c r="B85" s="134"/>
      <c r="C85" s="134"/>
      <c r="D85" s="31">
        <v>45171</v>
      </c>
      <c r="E85" s="16" t="str">
        <f t="shared" si="9"/>
        <v xml:space="preserve"> </v>
      </c>
      <c r="F85" s="32" t="str">
        <f t="shared" si="10"/>
        <v xml:space="preserve"> </v>
      </c>
      <c r="G85" s="18" t="str">
        <f t="shared" si="11"/>
        <v xml:space="preserve"> </v>
      </c>
    </row>
    <row r="86" spans="1:7" hidden="1" x14ac:dyDescent="0.15">
      <c r="A86" s="134" t="s">
        <v>86</v>
      </c>
      <c r="B86" s="134"/>
      <c r="C86" s="134"/>
      <c r="D86" s="31">
        <v>45201</v>
      </c>
      <c r="E86" s="16" t="str">
        <f t="shared" si="9"/>
        <v xml:space="preserve"> </v>
      </c>
      <c r="F86" s="32" t="str">
        <f t="shared" si="10"/>
        <v xml:space="preserve"> </v>
      </c>
      <c r="G86" s="18" t="str">
        <f t="shared" si="11"/>
        <v xml:space="preserve"> </v>
      </c>
    </row>
    <row r="87" spans="1:7" hidden="1" x14ac:dyDescent="0.15">
      <c r="A87" s="134" t="s">
        <v>87</v>
      </c>
      <c r="B87" s="134"/>
      <c r="C87" s="134"/>
      <c r="D87" s="31">
        <v>45232</v>
      </c>
      <c r="E87" s="16" t="str">
        <f t="shared" si="9"/>
        <v xml:space="preserve"> </v>
      </c>
      <c r="F87" s="32" t="str">
        <f t="shared" si="10"/>
        <v xml:space="preserve"> </v>
      </c>
      <c r="G87" s="18" t="str">
        <f t="shared" si="11"/>
        <v xml:space="preserve"> </v>
      </c>
    </row>
    <row r="88" spans="1:7" hidden="1" x14ac:dyDescent="0.15">
      <c r="A88" s="134" t="s">
        <v>88</v>
      </c>
      <c r="B88" s="134"/>
      <c r="C88" s="134"/>
      <c r="D88" s="31">
        <v>45262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4" t="s">
        <v>89</v>
      </c>
      <c r="B89" s="134"/>
      <c r="C89" s="134"/>
      <c r="D89" s="31">
        <v>45293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4" t="s">
        <v>90</v>
      </c>
      <c r="B90" s="134"/>
      <c r="C90" s="134"/>
      <c r="D90" s="31">
        <v>45324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4" t="s">
        <v>91</v>
      </c>
      <c r="B91" s="134"/>
      <c r="C91" s="134"/>
      <c r="D91" s="31">
        <v>45353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2"/>
      <c r="B92" s="122"/>
      <c r="C92" s="122"/>
      <c r="D92" s="31">
        <v>45384</v>
      </c>
      <c r="E92" s="16"/>
      <c r="F92" s="32"/>
      <c r="G92" s="18"/>
    </row>
    <row r="93" spans="1:7" hidden="1" x14ac:dyDescent="0.15">
      <c r="A93" s="122"/>
      <c r="B93" s="122"/>
      <c r="C93" s="122"/>
      <c r="D93" s="31">
        <v>45414</v>
      </c>
      <c r="E93" s="16"/>
      <c r="F93" s="32"/>
      <c r="G93" s="18"/>
    </row>
    <row r="94" spans="1:7" hidden="1" x14ac:dyDescent="0.15">
      <c r="A94" s="122"/>
      <c r="B94" s="122"/>
      <c r="C94" s="122"/>
      <c r="D94" s="31">
        <v>45445</v>
      </c>
      <c r="E94" s="16"/>
      <c r="F94" s="32"/>
      <c r="G94" s="18"/>
    </row>
    <row r="95" spans="1:7" hidden="1" x14ac:dyDescent="0.15">
      <c r="A95" s="122"/>
      <c r="B95" s="122"/>
      <c r="C95" s="122"/>
      <c r="D95" s="31">
        <v>45475</v>
      </c>
      <c r="E95" s="16"/>
      <c r="F95" s="32"/>
      <c r="G95" s="18"/>
    </row>
    <row r="96" spans="1:7" hidden="1" x14ac:dyDescent="0.15">
      <c r="A96" s="122"/>
      <c r="B96" s="122"/>
      <c r="C96" s="122"/>
      <c r="D96" s="31">
        <v>45506</v>
      </c>
      <c r="E96" s="16"/>
      <c r="F96" s="32"/>
      <c r="G96" s="18"/>
    </row>
    <row r="97" spans="1:9" hidden="1" x14ac:dyDescent="0.15">
      <c r="A97" s="122"/>
      <c r="B97" s="122"/>
      <c r="C97" s="122"/>
      <c r="D97" s="31">
        <v>45537</v>
      </c>
      <c r="E97" s="16"/>
      <c r="F97" s="32"/>
      <c r="G97" s="18"/>
    </row>
    <row r="98" spans="1:9" hidden="1" x14ac:dyDescent="0.15">
      <c r="A98" s="122"/>
      <c r="B98" s="122"/>
      <c r="C98" s="122"/>
      <c r="D98" s="31">
        <v>45567</v>
      </c>
      <c r="E98" s="16"/>
      <c r="F98" s="32"/>
      <c r="G98" s="18"/>
    </row>
    <row r="99" spans="1:9" hidden="1" x14ac:dyDescent="0.15">
      <c r="A99" s="122"/>
      <c r="B99" s="122"/>
      <c r="C99" s="122"/>
      <c r="D99" s="31">
        <v>45598</v>
      </c>
      <c r="E99" s="16"/>
      <c r="F99" s="32"/>
      <c r="G99" s="18"/>
    </row>
    <row r="100" spans="1:9" hidden="1" x14ac:dyDescent="0.15">
      <c r="A100" s="122"/>
      <c r="B100" s="122"/>
      <c r="C100" s="122"/>
      <c r="D100" s="31">
        <v>45628</v>
      </c>
      <c r="E100" s="16"/>
      <c r="F100" s="32"/>
      <c r="G100" s="18"/>
    </row>
    <row r="101" spans="1:9" hidden="1" x14ac:dyDescent="0.15">
      <c r="A101" s="122"/>
      <c r="B101" s="122"/>
      <c r="C101" s="122"/>
      <c r="D101" s="31">
        <v>45659</v>
      </c>
      <c r="E101" s="16"/>
      <c r="F101" s="32"/>
      <c r="G101" s="18"/>
    </row>
    <row r="102" spans="1:9" hidden="1" x14ac:dyDescent="0.15">
      <c r="A102" s="122"/>
      <c r="B102" s="122"/>
      <c r="C102" s="122"/>
      <c r="D102" s="31">
        <v>45690</v>
      </c>
      <c r="E102" s="16"/>
      <c r="F102" s="32"/>
      <c r="G102" s="18"/>
    </row>
    <row r="103" spans="1:9" hidden="1" x14ac:dyDescent="0.15">
      <c r="A103" s="122"/>
      <c r="B103" s="122"/>
      <c r="C103" s="122"/>
      <c r="D103" s="31">
        <v>45718</v>
      </c>
      <c r="E103" s="16"/>
      <c r="F103" s="32"/>
      <c r="G103" s="18"/>
    </row>
    <row r="104" spans="1:9" hidden="1" x14ac:dyDescent="0.15">
      <c r="A104" s="122"/>
      <c r="B104" s="122"/>
      <c r="C104" s="122"/>
      <c r="D104" s="31">
        <v>45749</v>
      </c>
      <c r="E104" s="16"/>
      <c r="F104" s="32"/>
      <c r="G104" s="18"/>
    </row>
    <row r="105" spans="1:9" x14ac:dyDescent="0.15">
      <c r="A105" s="122"/>
      <c r="B105" s="122"/>
      <c r="C105" s="122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hidden="1" x14ac:dyDescent="0.15">
      <c r="B108" s="1" t="s">
        <v>93</v>
      </c>
      <c r="F108" s="36">
        <f>D58</f>
        <v>44563</v>
      </c>
    </row>
    <row r="109" spans="1:9" x14ac:dyDescent="0.15">
      <c r="B109" s="1" t="s">
        <v>94</v>
      </c>
      <c r="F109" s="36">
        <f>D63+30</f>
        <v>44744</v>
      </c>
      <c r="G109" s="37">
        <f>ROUND(((G24+G25)*((100-A33)/100))+(G29*(100-A33)/100),2)</f>
        <v>4860470</v>
      </c>
      <c r="I109" s="18"/>
    </row>
    <row r="110" spans="1:9" hidden="1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44" t="s">
        <v>97</v>
      </c>
      <c r="B113" s="144"/>
      <c r="C113" s="144"/>
      <c r="D113" s="144"/>
      <c r="E113" s="144"/>
      <c r="F113" s="144"/>
      <c r="G113" s="144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6" t="s">
        <v>101</v>
      </c>
      <c r="B117" s="39"/>
      <c r="C117" s="39"/>
      <c r="D117" s="39"/>
    </row>
    <row r="118" spans="1:7" x14ac:dyDescent="0.15">
      <c r="A118" s="126" t="s">
        <v>102</v>
      </c>
      <c r="B118" s="39"/>
      <c r="C118" s="39"/>
      <c r="D118" s="39"/>
    </row>
    <row r="119" spans="1:7" x14ac:dyDescent="0.15">
      <c r="A119" s="126" t="s">
        <v>103</v>
      </c>
      <c r="B119" s="39"/>
      <c r="C119" s="39"/>
      <c r="D119" s="39"/>
    </row>
    <row r="120" spans="1:7" x14ac:dyDescent="0.15">
      <c r="A120" s="126" t="s">
        <v>104</v>
      </c>
      <c r="B120" s="39"/>
      <c r="C120" s="39"/>
      <c r="D120" s="39"/>
    </row>
    <row r="121" spans="1:7" x14ac:dyDescent="0.15">
      <c r="A121" s="126" t="s">
        <v>105</v>
      </c>
      <c r="B121" s="39"/>
      <c r="C121" s="39"/>
      <c r="D121" s="39"/>
    </row>
    <row r="122" spans="1:7" x14ac:dyDescent="0.15">
      <c r="A122" s="144" t="s">
        <v>106</v>
      </c>
      <c r="B122" s="144"/>
      <c r="C122" s="144"/>
      <c r="D122" s="144"/>
      <c r="E122" s="144"/>
      <c r="F122" s="144"/>
      <c r="G122" s="144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1">
    <mergeCell ref="A122:G122"/>
    <mergeCell ref="A87:C87"/>
    <mergeCell ref="A88:C88"/>
    <mergeCell ref="A89:C89"/>
    <mergeCell ref="A90:C90"/>
    <mergeCell ref="A91:C91"/>
    <mergeCell ref="A113:G113"/>
    <mergeCell ref="A86:C86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74:C74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50:C50"/>
    <mergeCell ref="B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F7:G7"/>
    <mergeCell ref="B1:F1"/>
    <mergeCell ref="B2:F2"/>
    <mergeCell ref="J2:M6"/>
    <mergeCell ref="A3:G3"/>
    <mergeCell ref="F6:G6"/>
  </mergeCells>
  <conditionalFormatting sqref="B11 B25">
    <cfRule type="expression" dxfId="80" priority="2" stopIfTrue="1">
      <formula>G11=0</formula>
    </cfRule>
  </conditionalFormatting>
  <conditionalFormatting sqref="A41:C48">
    <cfRule type="expression" dxfId="79" priority="3" stopIfTrue="1">
      <formula>VALUE(NoDPSchedule)&lt;VALUE(LEFT(A41,1))</formula>
    </cfRule>
  </conditionalFormatting>
  <conditionalFormatting sqref="A49:C105">
    <cfRule type="expression" dxfId="78" priority="4" stopIfTrue="1">
      <formula>VALUE(NoDPSchedule)&lt;VALUE(LEFT(A49,2))</formula>
    </cfRule>
  </conditionalFormatting>
  <conditionalFormatting sqref="G11 G25">
    <cfRule type="expression" dxfId="77" priority="5" stopIfTrue="1">
      <formula>G11=0</formula>
    </cfRule>
  </conditionalFormatting>
  <conditionalFormatting sqref="D4">
    <cfRule type="expression" dxfId="76" priority="1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52" orientation="portrait" horizontalDpi="4294967294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37"/>
  <sheetViews>
    <sheetView workbookViewId="0">
      <selection activeCell="D16" sqref="D16"/>
    </sheetView>
  </sheetViews>
  <sheetFormatPr baseColWidth="10" defaultColWidth="12.33203125" defaultRowHeight="13" x14ac:dyDescent="0.15"/>
  <cols>
    <col min="1" max="5" width="12.33203125" style="41"/>
    <col min="6" max="6" width="39.33203125" style="41" customWidth="1"/>
    <col min="7" max="7" width="18.6640625" style="41" customWidth="1"/>
    <col min="8" max="9" width="13.6640625" style="41" hidden="1" customWidth="1"/>
    <col min="10" max="11" width="13.6640625" style="41" bestFit="1" customWidth="1"/>
    <col min="12" max="16384" width="12.33203125" style="41"/>
  </cols>
  <sheetData>
    <row r="1" spans="1:11" ht="14.25" customHeight="1" thickTop="1" x14ac:dyDescent="0.2">
      <c r="A1" s="83"/>
      <c r="B1" s="157" t="s">
        <v>0</v>
      </c>
      <c r="C1" s="157"/>
      <c r="D1" s="157"/>
      <c r="E1" s="157"/>
      <c r="F1" s="157"/>
      <c r="G1" s="82"/>
    </row>
    <row r="2" spans="1:11" ht="14.25" customHeight="1" x14ac:dyDescent="0.15">
      <c r="A2" s="81"/>
      <c r="B2" s="158" t="s">
        <v>1</v>
      </c>
      <c r="C2" s="158"/>
      <c r="D2" s="158"/>
      <c r="E2" s="158"/>
      <c r="F2" s="158"/>
      <c r="G2" s="80"/>
    </row>
    <row r="3" spans="1:11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1" ht="15" customHeight="1" thickBot="1" x14ac:dyDescent="0.2">
      <c r="A4" s="79">
        <f>IF(A47&lt;=12,12,A47)</f>
        <v>24</v>
      </c>
      <c r="B4" s="78"/>
      <c r="C4" s="78"/>
      <c r="D4" s="98" t="s">
        <v>115</v>
      </c>
      <c r="E4" s="78"/>
      <c r="F4" s="78"/>
      <c r="G4" s="77"/>
    </row>
    <row r="5" spans="1:11" ht="13.5" customHeight="1" thickTop="1" x14ac:dyDescent="0.15">
      <c r="G5" s="76">
        <v>24</v>
      </c>
    </row>
    <row r="6" spans="1:11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</row>
    <row r="7" spans="1:11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</row>
    <row r="8" spans="1:11" ht="12.75" customHeight="1" x14ac:dyDescent="0.15"/>
    <row r="9" spans="1:11" ht="12.75" customHeight="1" x14ac:dyDescent="0.15"/>
    <row r="10" spans="1:11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  <c r="I10" s="95">
        <f>G10/1.12</f>
        <v>1339999.9999999998</v>
      </c>
      <c r="J10" s="95"/>
      <c r="K10" s="95"/>
    </row>
    <row r="11" spans="1:1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160800</v>
      </c>
      <c r="H11" s="95">
        <f>G10-G11</f>
        <v>1340000</v>
      </c>
      <c r="K11" s="95"/>
    </row>
    <row r="12" spans="1:11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13400</v>
      </c>
      <c r="I12" s="45"/>
      <c r="J12" s="45"/>
    </row>
    <row r="13" spans="1:11" hidden="1" x14ac:dyDescent="0.15">
      <c r="B13" s="41" t="s">
        <v>14</v>
      </c>
      <c r="D13" s="38"/>
      <c r="G13" s="45"/>
      <c r="I13" s="45"/>
      <c r="J13" s="45"/>
    </row>
    <row r="14" spans="1:11" hidden="1" x14ac:dyDescent="0.15">
      <c r="B14" s="41" t="s">
        <v>15</v>
      </c>
      <c r="G14" s="45">
        <v>0</v>
      </c>
      <c r="I14" s="45"/>
      <c r="J14" s="45"/>
    </row>
    <row r="15" spans="1:11" hidden="1" x14ac:dyDescent="0.15">
      <c r="B15" s="41" t="s">
        <v>16</v>
      </c>
      <c r="G15" s="45">
        <v>0</v>
      </c>
      <c r="I15" s="45"/>
    </row>
    <row r="16" spans="1:11" ht="14" x14ac:dyDescent="0.2">
      <c r="B16" s="41" t="s">
        <v>18</v>
      </c>
      <c r="D16" s="38" t="s">
        <v>120</v>
      </c>
      <c r="E16"/>
      <c r="F16"/>
      <c r="G16" s="45">
        <f>30000*5</f>
        <v>150000</v>
      </c>
      <c r="H16" s="45">
        <f>SUM(G11:G16)</f>
        <v>324200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hidden="1" x14ac:dyDescent="0.15">
      <c r="B20" s="41" t="s">
        <v>22</v>
      </c>
      <c r="G20" s="45">
        <v>0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H23" s="95">
        <f>G10-H16</f>
        <v>1176600</v>
      </c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(G10-G11)-SUM(G12:G22)</f>
        <v>1176600</v>
      </c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141192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82362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82362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1400154</v>
      </c>
    </row>
    <row r="31" spans="1:10" ht="12.75" customHeight="1" x14ac:dyDescent="0.15"/>
    <row r="32" spans="1:10" x14ac:dyDescent="0.15">
      <c r="A32" s="48" t="s">
        <v>31</v>
      </c>
    </row>
    <row r="33" spans="1:10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263558.40000000002</v>
      </c>
    </row>
    <row r="34" spans="1:10" ht="13.5" customHeight="1" thickBot="1" x14ac:dyDescent="0.2">
      <c r="A34" s="48"/>
      <c r="B34" s="41" t="s">
        <v>32</v>
      </c>
      <c r="G34" s="45">
        <f>ROUND(G29*(A33/100),2)</f>
        <v>16472.400000000001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280030.80000000005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44075.451322222223</v>
      </c>
      <c r="G36" s="45">
        <v>20000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260030.80000000005</v>
      </c>
    </row>
    <row r="38" spans="1:10" ht="12.75" customHeight="1" x14ac:dyDescent="0.15"/>
    <row r="39" spans="1:10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111779.2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8236.2000000000007</v>
      </c>
      <c r="J40" s="45"/>
    </row>
    <row r="41" spans="1:10" ht="13.5" customHeight="1" thickTop="1" x14ac:dyDescent="0.15">
      <c r="B41" s="44" t="s">
        <v>122</v>
      </c>
      <c r="E41" s="51"/>
      <c r="F41" s="106">
        <v>43976</v>
      </c>
      <c r="G41" s="61">
        <f>SUM(G39:G40)</f>
        <v>120015.4</v>
      </c>
    </row>
    <row r="42" spans="1:10" x14ac:dyDescent="0.15">
      <c r="B42" s="52"/>
      <c r="E42" s="51"/>
      <c r="F42" s="50"/>
      <c r="G42" s="49"/>
    </row>
    <row r="43" spans="1:10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131779.20000000001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8236.2000000000007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24 months</v>
      </c>
      <c r="E45" s="51"/>
      <c r="F45" s="50"/>
      <c r="G45" s="61">
        <f>SUM(G43:G44)</f>
        <v>140015.40000000002</v>
      </c>
    </row>
    <row r="46" spans="1:10" x14ac:dyDescent="0.15">
      <c r="B46" s="60"/>
      <c r="E46" s="51"/>
      <c r="F46" s="50"/>
      <c r="G46" s="49"/>
    </row>
    <row r="47" spans="1:10" ht="25.5" customHeight="1" x14ac:dyDescent="0.15">
      <c r="A47" s="59">
        <v>24</v>
      </c>
      <c r="B47" s="156" t="s">
        <v>36</v>
      </c>
      <c r="C47" s="156"/>
      <c r="D47" s="129" t="s">
        <v>37</v>
      </c>
      <c r="E47" s="58" t="s">
        <v>38</v>
      </c>
      <c r="F47" s="57" t="s">
        <v>27</v>
      </c>
      <c r="G47" s="56" t="s">
        <v>39</v>
      </c>
    </row>
    <row r="48" spans="1:10" x14ac:dyDescent="0.15">
      <c r="A48" s="155" t="s">
        <v>40</v>
      </c>
      <c r="B48" s="155"/>
      <c r="C48" s="155"/>
      <c r="D48" s="31">
        <v>44014</v>
      </c>
      <c r="E48" s="54">
        <f>ROUND(G43/A47,2)</f>
        <v>5490.8</v>
      </c>
      <c r="F48" s="53">
        <f>ROUND(G44/A47,2)</f>
        <v>343.18</v>
      </c>
      <c r="G48" s="45">
        <f>SUM(E48:F48)</f>
        <v>5833.9800000000005</v>
      </c>
    </row>
    <row r="49" spans="1:7" x14ac:dyDescent="0.15">
      <c r="A49" s="155" t="s">
        <v>41</v>
      </c>
      <c r="B49" s="155"/>
      <c r="C49" s="155"/>
      <c r="D49" s="31">
        <v>44045</v>
      </c>
      <c r="E49" s="54">
        <f t="shared" ref="E49:E56" si="0">IF($A$47&lt;VALUE(LEFT(A49,1))," ",IF($A$47=VALUE(LEFT(A49,1)),$G$43-($E$48*($A$47-1)),E48))</f>
        <v>5490.8</v>
      </c>
      <c r="F49" s="53">
        <f t="shared" ref="F49:F56" si="1">IF($A$47&lt;VALUE(LEFT(A49,1))," ",IF($A$47=VALUE(LEFT(A49,1)),$G$44-($F$48*($A$47-1)),F48))</f>
        <v>343.18</v>
      </c>
      <c r="G49" s="45">
        <f t="shared" ref="G49:G56" si="2">IF($A$47&lt;VALUE(LEFT(A49,1))," ",SUM(E49:F49))</f>
        <v>5833.9800000000005</v>
      </c>
    </row>
    <row r="50" spans="1:7" x14ac:dyDescent="0.15">
      <c r="A50" s="155" t="s">
        <v>42</v>
      </c>
      <c r="B50" s="155"/>
      <c r="C50" s="155"/>
      <c r="D50" s="31">
        <v>44076</v>
      </c>
      <c r="E50" s="54">
        <f t="shared" si="0"/>
        <v>5490.8</v>
      </c>
      <c r="F50" s="53">
        <f t="shared" si="1"/>
        <v>343.18</v>
      </c>
      <c r="G50" s="45">
        <f t="shared" si="2"/>
        <v>5833.9800000000005</v>
      </c>
    </row>
    <row r="51" spans="1:7" x14ac:dyDescent="0.15">
      <c r="A51" s="155" t="s">
        <v>43</v>
      </c>
      <c r="B51" s="155"/>
      <c r="C51" s="155"/>
      <c r="D51" s="31">
        <v>44106</v>
      </c>
      <c r="E51" s="54">
        <f t="shared" si="0"/>
        <v>5490.8</v>
      </c>
      <c r="F51" s="53">
        <f t="shared" si="1"/>
        <v>343.18</v>
      </c>
      <c r="G51" s="45">
        <f t="shared" si="2"/>
        <v>5833.9800000000005</v>
      </c>
    </row>
    <row r="52" spans="1:7" x14ac:dyDescent="0.15">
      <c r="A52" s="155" t="s">
        <v>44</v>
      </c>
      <c r="B52" s="155"/>
      <c r="C52" s="155"/>
      <c r="D52" s="31">
        <v>44137</v>
      </c>
      <c r="E52" s="54">
        <f t="shared" si="0"/>
        <v>5490.8</v>
      </c>
      <c r="F52" s="53">
        <f t="shared" si="1"/>
        <v>343.18</v>
      </c>
      <c r="G52" s="45">
        <f t="shared" si="2"/>
        <v>5833.9800000000005</v>
      </c>
    </row>
    <row r="53" spans="1:7" x14ac:dyDescent="0.15">
      <c r="A53" s="155" t="s">
        <v>45</v>
      </c>
      <c r="B53" s="155"/>
      <c r="C53" s="155"/>
      <c r="D53" s="31">
        <v>44167</v>
      </c>
      <c r="E53" s="54">
        <f t="shared" si="0"/>
        <v>5490.8</v>
      </c>
      <c r="F53" s="53">
        <f t="shared" si="1"/>
        <v>343.18</v>
      </c>
      <c r="G53" s="45">
        <f t="shared" si="2"/>
        <v>5833.9800000000005</v>
      </c>
    </row>
    <row r="54" spans="1:7" x14ac:dyDescent="0.15">
      <c r="A54" s="155" t="s">
        <v>46</v>
      </c>
      <c r="B54" s="155"/>
      <c r="C54" s="155"/>
      <c r="D54" s="31">
        <v>44198</v>
      </c>
      <c r="E54" s="54">
        <f t="shared" si="0"/>
        <v>5490.8</v>
      </c>
      <c r="F54" s="53">
        <f t="shared" si="1"/>
        <v>343.18</v>
      </c>
      <c r="G54" s="45">
        <f t="shared" si="2"/>
        <v>5833.9800000000005</v>
      </c>
    </row>
    <row r="55" spans="1:7" x14ac:dyDescent="0.15">
      <c r="A55" s="155" t="s">
        <v>47</v>
      </c>
      <c r="B55" s="155"/>
      <c r="C55" s="155"/>
      <c r="D55" s="31">
        <v>44229</v>
      </c>
      <c r="E55" s="54">
        <f t="shared" si="0"/>
        <v>5490.8</v>
      </c>
      <c r="F55" s="53">
        <f t="shared" si="1"/>
        <v>343.18</v>
      </c>
      <c r="G55" s="45">
        <f t="shared" si="2"/>
        <v>5833.9800000000005</v>
      </c>
    </row>
    <row r="56" spans="1:7" x14ac:dyDescent="0.15">
      <c r="A56" s="155" t="s">
        <v>48</v>
      </c>
      <c r="B56" s="155"/>
      <c r="C56" s="155"/>
      <c r="D56" s="31">
        <v>44257</v>
      </c>
      <c r="E56" s="54">
        <f t="shared" si="0"/>
        <v>5490.8</v>
      </c>
      <c r="F56" s="53">
        <f t="shared" si="1"/>
        <v>343.18</v>
      </c>
      <c r="G56" s="45">
        <f t="shared" si="2"/>
        <v>5833.9800000000005</v>
      </c>
    </row>
    <row r="57" spans="1:7" x14ac:dyDescent="0.15">
      <c r="A57" s="155" t="s">
        <v>49</v>
      </c>
      <c r="B57" s="155"/>
      <c r="C57" s="155"/>
      <c r="D57" s="31">
        <v>44288</v>
      </c>
      <c r="E57" s="54">
        <f t="shared" ref="E57:E81" si="3">IF($A$47&lt;VALUE(LEFT(A57,2))," ",IF($A$47=VALUE(LEFT(A57,2)),$G$43-($E$48*($A$47-1)),E56))</f>
        <v>5490.8</v>
      </c>
      <c r="F57" s="53">
        <f t="shared" ref="F57:F81" si="4">IF($A$47&lt;VALUE(LEFT(A57,2))," ",IF($A$47=VALUE(LEFT(A57,2)),$G$44-($F$48*($A$47-1)),F56))</f>
        <v>343.18</v>
      </c>
      <c r="G57" s="45">
        <f t="shared" ref="G57:G81" si="5">IF($A$47&lt;VALUE(LEFT(A57,2))," ",SUM(E57:F57))</f>
        <v>5833.9800000000005</v>
      </c>
    </row>
    <row r="58" spans="1:7" x14ac:dyDescent="0.15">
      <c r="A58" s="155" t="s">
        <v>50</v>
      </c>
      <c r="B58" s="155"/>
      <c r="C58" s="155"/>
      <c r="D58" s="31">
        <v>44318</v>
      </c>
      <c r="E58" s="54">
        <f t="shared" si="3"/>
        <v>5490.8</v>
      </c>
      <c r="F58" s="53">
        <f t="shared" si="4"/>
        <v>343.18</v>
      </c>
      <c r="G58" s="45">
        <f t="shared" si="5"/>
        <v>5833.9800000000005</v>
      </c>
    </row>
    <row r="59" spans="1:7" x14ac:dyDescent="0.15">
      <c r="A59" s="155" t="s">
        <v>51</v>
      </c>
      <c r="B59" s="155"/>
      <c r="C59" s="155"/>
      <c r="D59" s="31">
        <v>44349</v>
      </c>
      <c r="E59" s="54">
        <f t="shared" si="3"/>
        <v>5490.8</v>
      </c>
      <c r="F59" s="53">
        <f t="shared" si="4"/>
        <v>343.18</v>
      </c>
      <c r="G59" s="45">
        <f t="shared" si="5"/>
        <v>5833.9800000000005</v>
      </c>
    </row>
    <row r="60" spans="1:7" x14ac:dyDescent="0.15">
      <c r="A60" s="155" t="s">
        <v>52</v>
      </c>
      <c r="B60" s="155"/>
      <c r="C60" s="155"/>
      <c r="D60" s="31">
        <v>44379</v>
      </c>
      <c r="E60" s="54">
        <f t="shared" si="3"/>
        <v>5490.8</v>
      </c>
      <c r="F60" s="53">
        <f t="shared" si="4"/>
        <v>343.18</v>
      </c>
      <c r="G60" s="45">
        <f t="shared" si="5"/>
        <v>5833.9800000000005</v>
      </c>
    </row>
    <row r="61" spans="1:7" x14ac:dyDescent="0.15">
      <c r="A61" s="155" t="s">
        <v>53</v>
      </c>
      <c r="B61" s="155"/>
      <c r="C61" s="155"/>
      <c r="D61" s="31">
        <v>44410</v>
      </c>
      <c r="E61" s="54">
        <f t="shared" si="3"/>
        <v>5490.8</v>
      </c>
      <c r="F61" s="53">
        <f t="shared" si="4"/>
        <v>343.18</v>
      </c>
      <c r="G61" s="45">
        <f t="shared" si="5"/>
        <v>5833.9800000000005</v>
      </c>
    </row>
    <row r="62" spans="1:7" x14ac:dyDescent="0.15">
      <c r="A62" s="155" t="s">
        <v>54</v>
      </c>
      <c r="B62" s="155"/>
      <c r="C62" s="155"/>
      <c r="D62" s="31">
        <v>44441</v>
      </c>
      <c r="E62" s="54">
        <f t="shared" si="3"/>
        <v>5490.8</v>
      </c>
      <c r="F62" s="53">
        <f t="shared" si="4"/>
        <v>343.18</v>
      </c>
      <c r="G62" s="45">
        <f t="shared" si="5"/>
        <v>5833.9800000000005</v>
      </c>
    </row>
    <row r="63" spans="1:7" x14ac:dyDescent="0.15">
      <c r="A63" s="155" t="s">
        <v>55</v>
      </c>
      <c r="B63" s="155"/>
      <c r="C63" s="155"/>
      <c r="D63" s="31">
        <v>44471</v>
      </c>
      <c r="E63" s="54">
        <f t="shared" si="3"/>
        <v>5490.8</v>
      </c>
      <c r="F63" s="53">
        <f t="shared" si="4"/>
        <v>343.18</v>
      </c>
      <c r="G63" s="45">
        <f t="shared" si="5"/>
        <v>5833.9800000000005</v>
      </c>
    </row>
    <row r="64" spans="1:7" x14ac:dyDescent="0.15">
      <c r="A64" s="155" t="s">
        <v>56</v>
      </c>
      <c r="B64" s="155"/>
      <c r="C64" s="155"/>
      <c r="D64" s="31">
        <v>44502</v>
      </c>
      <c r="E64" s="54">
        <f t="shared" si="3"/>
        <v>5490.8</v>
      </c>
      <c r="F64" s="53">
        <f t="shared" si="4"/>
        <v>343.18</v>
      </c>
      <c r="G64" s="45">
        <f t="shared" si="5"/>
        <v>5833.9800000000005</v>
      </c>
    </row>
    <row r="65" spans="1:7" x14ac:dyDescent="0.15">
      <c r="A65" s="155" t="s">
        <v>57</v>
      </c>
      <c r="B65" s="155"/>
      <c r="C65" s="155"/>
      <c r="D65" s="31">
        <v>44532</v>
      </c>
      <c r="E65" s="54">
        <f t="shared" si="3"/>
        <v>5490.8</v>
      </c>
      <c r="F65" s="53">
        <f t="shared" si="4"/>
        <v>343.18</v>
      </c>
      <c r="G65" s="45">
        <f t="shared" si="5"/>
        <v>5833.9800000000005</v>
      </c>
    </row>
    <row r="66" spans="1:7" x14ac:dyDescent="0.15">
      <c r="A66" s="155" t="s">
        <v>58</v>
      </c>
      <c r="B66" s="155"/>
      <c r="C66" s="155"/>
      <c r="D66" s="31">
        <v>44563</v>
      </c>
      <c r="E66" s="54">
        <f t="shared" si="3"/>
        <v>5490.8</v>
      </c>
      <c r="F66" s="53">
        <f t="shared" si="4"/>
        <v>343.18</v>
      </c>
      <c r="G66" s="45">
        <f t="shared" si="5"/>
        <v>5833.9800000000005</v>
      </c>
    </row>
    <row r="67" spans="1:7" x14ac:dyDescent="0.15">
      <c r="A67" s="155" t="s">
        <v>59</v>
      </c>
      <c r="B67" s="155"/>
      <c r="C67" s="155"/>
      <c r="D67" s="31">
        <v>44594</v>
      </c>
      <c r="E67" s="54">
        <f t="shared" si="3"/>
        <v>5490.8</v>
      </c>
      <c r="F67" s="53">
        <f t="shared" si="4"/>
        <v>343.18</v>
      </c>
      <c r="G67" s="45">
        <f t="shared" si="5"/>
        <v>5833.9800000000005</v>
      </c>
    </row>
    <row r="68" spans="1:7" x14ac:dyDescent="0.15">
      <c r="A68" s="155" t="s">
        <v>60</v>
      </c>
      <c r="B68" s="155"/>
      <c r="C68" s="155"/>
      <c r="D68" s="31">
        <v>44622</v>
      </c>
      <c r="E68" s="54">
        <f t="shared" si="3"/>
        <v>5490.8</v>
      </c>
      <c r="F68" s="53">
        <f t="shared" si="4"/>
        <v>343.18</v>
      </c>
      <c r="G68" s="45">
        <f t="shared" si="5"/>
        <v>5833.9800000000005</v>
      </c>
    </row>
    <row r="69" spans="1:7" x14ac:dyDescent="0.15">
      <c r="A69" s="155" t="s">
        <v>61</v>
      </c>
      <c r="B69" s="155"/>
      <c r="C69" s="155"/>
      <c r="D69" s="31">
        <v>44653</v>
      </c>
      <c r="E69" s="54">
        <f t="shared" si="3"/>
        <v>5490.8</v>
      </c>
      <c r="F69" s="53">
        <f t="shared" si="4"/>
        <v>343.18</v>
      </c>
      <c r="G69" s="45">
        <f t="shared" si="5"/>
        <v>5833.9800000000005</v>
      </c>
    </row>
    <row r="70" spans="1:7" x14ac:dyDescent="0.15">
      <c r="A70" s="155" t="s">
        <v>62</v>
      </c>
      <c r="B70" s="155"/>
      <c r="C70" s="155"/>
      <c r="D70" s="31">
        <v>44683</v>
      </c>
      <c r="E70" s="54">
        <f t="shared" si="3"/>
        <v>5490.8</v>
      </c>
      <c r="F70" s="53">
        <f t="shared" si="4"/>
        <v>343.18</v>
      </c>
      <c r="G70" s="45">
        <f t="shared" si="5"/>
        <v>5833.9800000000005</v>
      </c>
    </row>
    <row r="71" spans="1:7" x14ac:dyDescent="0.15">
      <c r="A71" s="155" t="s">
        <v>63</v>
      </c>
      <c r="B71" s="155"/>
      <c r="C71" s="155"/>
      <c r="D71" s="31">
        <v>44714</v>
      </c>
      <c r="E71" s="54">
        <f t="shared" si="3"/>
        <v>5490.8000000000029</v>
      </c>
      <c r="F71" s="53">
        <f t="shared" si="4"/>
        <v>343.0600000000004</v>
      </c>
      <c r="G71" s="45">
        <f t="shared" si="5"/>
        <v>5833.8600000000033</v>
      </c>
    </row>
    <row r="72" spans="1:7" hidden="1" x14ac:dyDescent="0.15">
      <c r="A72" s="155" t="s">
        <v>64</v>
      </c>
      <c r="B72" s="155"/>
      <c r="C72" s="155"/>
      <c r="D72" s="31">
        <v>44517</v>
      </c>
      <c r="E72" s="54" t="str">
        <f t="shared" si="3"/>
        <v xml:space="preserve"> </v>
      </c>
      <c r="F72" s="53" t="str">
        <f t="shared" si="4"/>
        <v xml:space="preserve"> </v>
      </c>
      <c r="G72" s="45" t="str">
        <f t="shared" si="5"/>
        <v xml:space="preserve"> </v>
      </c>
    </row>
    <row r="73" spans="1:7" hidden="1" x14ac:dyDescent="0.15">
      <c r="A73" s="155" t="s">
        <v>65</v>
      </c>
      <c r="B73" s="155"/>
      <c r="C73" s="155"/>
      <c r="D73" s="31">
        <v>44547</v>
      </c>
      <c r="E73" s="54" t="str">
        <f t="shared" si="3"/>
        <v xml:space="preserve"> </v>
      </c>
      <c r="F73" s="53" t="str">
        <f t="shared" si="4"/>
        <v xml:space="preserve"> </v>
      </c>
      <c r="G73" s="45" t="str">
        <f t="shared" si="5"/>
        <v xml:space="preserve"> </v>
      </c>
    </row>
    <row r="74" spans="1:7" hidden="1" x14ac:dyDescent="0.15">
      <c r="A74" s="155" t="s">
        <v>66</v>
      </c>
      <c r="B74" s="155"/>
      <c r="C74" s="155"/>
      <c r="D74" s="31">
        <v>44578</v>
      </c>
      <c r="E74" s="54" t="str">
        <f t="shared" si="3"/>
        <v xml:space="preserve"> </v>
      </c>
      <c r="F74" s="53" t="str">
        <f t="shared" si="4"/>
        <v xml:space="preserve"> </v>
      </c>
      <c r="G74" s="45" t="str">
        <f t="shared" si="5"/>
        <v xml:space="preserve"> </v>
      </c>
    </row>
    <row r="75" spans="1:7" hidden="1" x14ac:dyDescent="0.15">
      <c r="A75" s="155" t="s">
        <v>67</v>
      </c>
      <c r="B75" s="155"/>
      <c r="C75" s="155"/>
      <c r="D75" s="31">
        <v>44609</v>
      </c>
      <c r="E75" s="54" t="str">
        <f t="shared" si="3"/>
        <v xml:space="preserve"> </v>
      </c>
      <c r="F75" s="53" t="str">
        <f t="shared" si="4"/>
        <v xml:space="preserve"> </v>
      </c>
      <c r="G75" s="45" t="str">
        <f t="shared" si="5"/>
        <v xml:space="preserve"> </v>
      </c>
    </row>
    <row r="76" spans="1:7" hidden="1" x14ac:dyDescent="0.15">
      <c r="A76" s="155" t="s">
        <v>68</v>
      </c>
      <c r="B76" s="155"/>
      <c r="C76" s="155"/>
      <c r="D76" s="31">
        <v>44637</v>
      </c>
      <c r="E76" s="54" t="str">
        <f t="shared" si="3"/>
        <v xml:space="preserve"> </v>
      </c>
      <c r="F76" s="53" t="str">
        <f t="shared" si="4"/>
        <v xml:space="preserve"> </v>
      </c>
      <c r="G76" s="45" t="str">
        <f t="shared" si="5"/>
        <v xml:space="preserve"> </v>
      </c>
    </row>
    <row r="77" spans="1:7" hidden="1" x14ac:dyDescent="0.15">
      <c r="A77" s="155" t="s">
        <v>69</v>
      </c>
      <c r="B77" s="155"/>
      <c r="C77" s="155"/>
      <c r="D77" s="31">
        <v>44668</v>
      </c>
      <c r="E77" s="54" t="str">
        <f t="shared" si="3"/>
        <v xml:space="preserve"> </v>
      </c>
      <c r="F77" s="53" t="str">
        <f t="shared" si="4"/>
        <v xml:space="preserve"> </v>
      </c>
      <c r="G77" s="45" t="str">
        <f t="shared" si="5"/>
        <v xml:space="preserve"> </v>
      </c>
    </row>
    <row r="78" spans="1:7" hidden="1" x14ac:dyDescent="0.15">
      <c r="A78" s="155" t="s">
        <v>70</v>
      </c>
      <c r="B78" s="155"/>
      <c r="C78" s="155"/>
      <c r="D78" s="31">
        <v>44698</v>
      </c>
      <c r="E78" s="54" t="str">
        <f t="shared" si="3"/>
        <v xml:space="preserve"> </v>
      </c>
      <c r="F78" s="53" t="str">
        <f t="shared" si="4"/>
        <v xml:space="preserve"> </v>
      </c>
      <c r="G78" s="45" t="str">
        <f t="shared" si="5"/>
        <v xml:space="preserve"> </v>
      </c>
    </row>
    <row r="79" spans="1:7" hidden="1" x14ac:dyDescent="0.15">
      <c r="A79" s="155" t="s">
        <v>71</v>
      </c>
      <c r="B79" s="155"/>
      <c r="C79" s="155"/>
      <c r="D79" s="31">
        <v>44729</v>
      </c>
      <c r="E79" s="54" t="str">
        <f t="shared" si="3"/>
        <v xml:space="preserve"> </v>
      </c>
      <c r="F79" s="53" t="str">
        <f t="shared" si="4"/>
        <v xml:space="preserve"> </v>
      </c>
      <c r="G79" s="45" t="str">
        <f t="shared" si="5"/>
        <v xml:space="preserve"> </v>
      </c>
    </row>
    <row r="80" spans="1:7" hidden="1" x14ac:dyDescent="0.15">
      <c r="A80" s="155" t="s">
        <v>72</v>
      </c>
      <c r="B80" s="155"/>
      <c r="C80" s="155"/>
      <c r="D80" s="31">
        <v>44759</v>
      </c>
      <c r="E80" s="54" t="str">
        <f t="shared" si="3"/>
        <v xml:space="preserve"> </v>
      </c>
      <c r="F80" s="53" t="str">
        <f t="shared" si="4"/>
        <v xml:space="preserve"> </v>
      </c>
      <c r="G80" s="45" t="str">
        <f t="shared" si="5"/>
        <v xml:space="preserve"> </v>
      </c>
    </row>
    <row r="81" spans="1:7" hidden="1" x14ac:dyDescent="0.15">
      <c r="A81" s="155" t="s">
        <v>73</v>
      </c>
      <c r="B81" s="155"/>
      <c r="C81" s="155"/>
      <c r="D81" s="31">
        <v>44790</v>
      </c>
      <c r="E81" s="54" t="str">
        <f t="shared" si="3"/>
        <v xml:space="preserve"> </v>
      </c>
      <c r="F81" s="53" t="str">
        <f t="shared" si="4"/>
        <v xml:space="preserve"> </v>
      </c>
      <c r="G81" s="45" t="str">
        <f t="shared" si="5"/>
        <v xml:space="preserve"> </v>
      </c>
    </row>
    <row r="82" spans="1:7" hidden="1" x14ac:dyDescent="0.15">
      <c r="A82" s="155" t="s">
        <v>74</v>
      </c>
      <c r="B82" s="155"/>
      <c r="C82" s="155"/>
      <c r="D82" s="31">
        <v>44821</v>
      </c>
      <c r="E82" s="54" t="str">
        <f>IF($A$47&lt;VALUE(LEFT(A82,2))," ",IF($A$47=VALUE(LEFT(A82,2)),$G$43-($E$48*($A$47-1)),E81))</f>
        <v xml:space="preserve"> </v>
      </c>
      <c r="F82" s="53" t="str">
        <f>IF($A$47&lt;VALUE(LEFT(A82,2))," ",IF($A$47=VALUE(LEFT(A82,2)),$G$44-($F$48*($A$47-1)),F81))</f>
        <v xml:space="preserve"> </v>
      </c>
      <c r="G82" s="45" t="str">
        <f>IF($A$47&lt;VALUE(LEFT(A82,2))," ",SUM(E82:F82))</f>
        <v xml:space="preserve"> </v>
      </c>
    </row>
    <row r="83" spans="1:7" hidden="1" x14ac:dyDescent="0.15">
      <c r="A83" s="155" t="s">
        <v>75</v>
      </c>
      <c r="B83" s="155"/>
      <c r="C83" s="155"/>
      <c r="D83" s="31">
        <v>44851</v>
      </c>
      <c r="E83" s="54" t="str">
        <f>IF($A$47&lt;VALUE(LEFT(A83,2))," ",IF($A$47=VALUE(LEFT(A83,2)),$G$43-($E$48*($A$47-1)),E82))</f>
        <v xml:space="preserve"> </v>
      </c>
      <c r="F83" s="53" t="str">
        <f>IF($A$47&lt;VALUE(LEFT(A83,2))," ",IF($A$47=VALUE(LEFT(A83,2)),$G$44-($F$48*($A$47-1)),F82))</f>
        <v xml:space="preserve"> </v>
      </c>
      <c r="G83" s="45" t="str">
        <f>IF($A$47&lt;VALUE(LEFT(A83,2))," ",SUM(E83:F83))</f>
        <v xml:space="preserve"> </v>
      </c>
    </row>
    <row r="84" spans="1:7" hidden="1" x14ac:dyDescent="0.15">
      <c r="A84" s="155" t="s">
        <v>76</v>
      </c>
      <c r="B84" s="155"/>
      <c r="C84" s="155"/>
      <c r="D84" s="31">
        <v>44882</v>
      </c>
      <c r="E84" s="54" t="str">
        <f t="shared" ref="E84:E101" si="6">IF($A$47&lt;VALUE(LEFT(A84,2))," ",IF($A$47=VALUE(LEFT(A84,2)),$G$43-($E$48*($A$47-1)),E83))</f>
        <v xml:space="preserve"> </v>
      </c>
      <c r="F84" s="53" t="str">
        <f t="shared" ref="F84:F101" si="7">IF($A$47&lt;VALUE(LEFT(A84,2))," ",IF($A$47=VALUE(LEFT(A84,2)),$G$44-($F$48*($A$47-1)),F83))</f>
        <v xml:space="preserve"> </v>
      </c>
      <c r="G84" s="45" t="str">
        <f t="shared" ref="G84:G101" si="8">IF($A$47&lt;VALUE(LEFT(A84,2))," ",SUM(E84:F84))</f>
        <v xml:space="preserve"> </v>
      </c>
    </row>
    <row r="85" spans="1:7" hidden="1" x14ac:dyDescent="0.15">
      <c r="A85" s="155" t="s">
        <v>77</v>
      </c>
      <c r="B85" s="155"/>
      <c r="C85" s="155"/>
      <c r="D85" s="31">
        <v>44912</v>
      </c>
      <c r="E85" s="54" t="str">
        <f t="shared" si="6"/>
        <v xml:space="preserve"> </v>
      </c>
      <c r="F85" s="53" t="str">
        <f t="shared" si="7"/>
        <v xml:space="preserve"> </v>
      </c>
      <c r="G85" s="45" t="str">
        <f t="shared" si="8"/>
        <v xml:space="preserve"> </v>
      </c>
    </row>
    <row r="86" spans="1:7" hidden="1" x14ac:dyDescent="0.15">
      <c r="A86" s="155" t="s">
        <v>78</v>
      </c>
      <c r="B86" s="155"/>
      <c r="C86" s="155"/>
      <c r="D86" s="31">
        <v>44943</v>
      </c>
      <c r="E86" s="54" t="str">
        <f t="shared" si="6"/>
        <v xml:space="preserve"> </v>
      </c>
      <c r="F86" s="53" t="str">
        <f t="shared" si="7"/>
        <v xml:space="preserve"> </v>
      </c>
      <c r="G86" s="45" t="str">
        <f t="shared" si="8"/>
        <v xml:space="preserve"> </v>
      </c>
    </row>
    <row r="87" spans="1:7" hidden="1" x14ac:dyDescent="0.15">
      <c r="A87" s="155" t="s">
        <v>79</v>
      </c>
      <c r="B87" s="155"/>
      <c r="C87" s="155"/>
      <c r="D87" s="31">
        <v>44974</v>
      </c>
      <c r="E87" s="54" t="str">
        <f t="shared" si="6"/>
        <v xml:space="preserve"> </v>
      </c>
      <c r="F87" s="53" t="str">
        <f t="shared" si="7"/>
        <v xml:space="preserve"> </v>
      </c>
      <c r="G87" s="45" t="str">
        <f t="shared" si="8"/>
        <v xml:space="preserve"> </v>
      </c>
    </row>
    <row r="88" spans="1:7" hidden="1" x14ac:dyDescent="0.15">
      <c r="A88" s="155" t="s">
        <v>80</v>
      </c>
      <c r="B88" s="155"/>
      <c r="C88" s="155"/>
      <c r="D88" s="31">
        <v>45002</v>
      </c>
      <c r="E88" s="54" t="str">
        <f t="shared" si="6"/>
        <v xml:space="preserve"> </v>
      </c>
      <c r="F88" s="53" t="str">
        <f t="shared" si="7"/>
        <v xml:space="preserve"> </v>
      </c>
      <c r="G88" s="45" t="str">
        <f t="shared" si="8"/>
        <v xml:space="preserve"> </v>
      </c>
    </row>
    <row r="89" spans="1:7" hidden="1" x14ac:dyDescent="0.15">
      <c r="A89" s="155" t="s">
        <v>81</v>
      </c>
      <c r="B89" s="155"/>
      <c r="C89" s="155"/>
      <c r="D89" s="31">
        <v>45033</v>
      </c>
      <c r="E89" s="54" t="str">
        <f t="shared" si="6"/>
        <v xml:space="preserve"> </v>
      </c>
      <c r="F89" s="53" t="str">
        <f t="shared" si="7"/>
        <v xml:space="preserve"> </v>
      </c>
      <c r="G89" s="45" t="str">
        <f t="shared" si="8"/>
        <v xml:space="preserve"> </v>
      </c>
    </row>
    <row r="90" spans="1:7" hidden="1" x14ac:dyDescent="0.15">
      <c r="A90" s="155" t="s">
        <v>82</v>
      </c>
      <c r="B90" s="155"/>
      <c r="C90" s="155"/>
      <c r="D90" s="31">
        <v>45063</v>
      </c>
      <c r="E90" s="54" t="str">
        <f t="shared" si="6"/>
        <v xml:space="preserve"> </v>
      </c>
      <c r="F90" s="53" t="str">
        <f t="shared" si="7"/>
        <v xml:space="preserve"> </v>
      </c>
      <c r="G90" s="45" t="str">
        <f t="shared" si="8"/>
        <v xml:space="preserve"> </v>
      </c>
    </row>
    <row r="91" spans="1:7" hidden="1" x14ac:dyDescent="0.15">
      <c r="A91" s="155" t="s">
        <v>83</v>
      </c>
      <c r="B91" s="155"/>
      <c r="C91" s="155"/>
      <c r="D91" s="31">
        <v>45094</v>
      </c>
      <c r="E91" s="54" t="str">
        <f t="shared" si="6"/>
        <v xml:space="preserve"> </v>
      </c>
      <c r="F91" s="53" t="str">
        <f t="shared" si="7"/>
        <v xml:space="preserve"> </v>
      </c>
      <c r="G91" s="45" t="str">
        <f t="shared" si="8"/>
        <v xml:space="preserve"> </v>
      </c>
    </row>
    <row r="92" spans="1:7" hidden="1" x14ac:dyDescent="0.15">
      <c r="A92" s="155" t="s">
        <v>84</v>
      </c>
      <c r="B92" s="155"/>
      <c r="C92" s="155"/>
      <c r="D92" s="31">
        <v>45124</v>
      </c>
      <c r="E92" s="54" t="str">
        <f t="shared" si="6"/>
        <v xml:space="preserve"> </v>
      </c>
      <c r="F92" s="53" t="str">
        <f t="shared" si="7"/>
        <v xml:space="preserve"> </v>
      </c>
      <c r="G92" s="45" t="str">
        <f t="shared" si="8"/>
        <v xml:space="preserve"> </v>
      </c>
    </row>
    <row r="93" spans="1:7" hidden="1" x14ac:dyDescent="0.15">
      <c r="A93" s="155" t="s">
        <v>85</v>
      </c>
      <c r="B93" s="155"/>
      <c r="C93" s="155"/>
      <c r="D93" s="31">
        <v>45155</v>
      </c>
      <c r="E93" s="54" t="str">
        <f t="shared" si="6"/>
        <v xml:space="preserve"> </v>
      </c>
      <c r="F93" s="53" t="str">
        <f t="shared" si="7"/>
        <v xml:space="preserve"> </v>
      </c>
      <c r="G93" s="45" t="str">
        <f t="shared" si="8"/>
        <v xml:space="preserve"> </v>
      </c>
    </row>
    <row r="94" spans="1:7" hidden="1" x14ac:dyDescent="0.15">
      <c r="A94" s="155" t="s">
        <v>86</v>
      </c>
      <c r="B94" s="155"/>
      <c r="C94" s="155"/>
      <c r="D94" s="31">
        <v>45186</v>
      </c>
      <c r="E94" s="54" t="str">
        <f t="shared" si="6"/>
        <v xml:space="preserve"> </v>
      </c>
      <c r="F94" s="53" t="str">
        <f t="shared" si="7"/>
        <v xml:space="preserve"> </v>
      </c>
      <c r="G94" s="45" t="str">
        <f t="shared" si="8"/>
        <v xml:space="preserve"> </v>
      </c>
    </row>
    <row r="95" spans="1:7" hidden="1" x14ac:dyDescent="0.15">
      <c r="A95" s="155" t="s">
        <v>87</v>
      </c>
      <c r="B95" s="155"/>
      <c r="C95" s="155"/>
      <c r="D95" s="31">
        <v>45216</v>
      </c>
      <c r="E95" s="54" t="str">
        <f t="shared" si="6"/>
        <v xml:space="preserve"> </v>
      </c>
      <c r="F95" s="53" t="str">
        <f t="shared" si="7"/>
        <v xml:space="preserve"> </v>
      </c>
      <c r="G95" s="45" t="str">
        <f t="shared" si="8"/>
        <v xml:space="preserve"> </v>
      </c>
    </row>
    <row r="96" spans="1:7" hidden="1" x14ac:dyDescent="0.15">
      <c r="A96" s="155" t="s">
        <v>88</v>
      </c>
      <c r="B96" s="155"/>
      <c r="C96" s="155"/>
      <c r="D96" s="31">
        <v>45247</v>
      </c>
      <c r="E96" s="54" t="str">
        <f t="shared" si="6"/>
        <v xml:space="preserve"> </v>
      </c>
      <c r="F96" s="53" t="str">
        <f t="shared" si="7"/>
        <v xml:space="preserve"> </v>
      </c>
      <c r="G96" s="45" t="str">
        <f t="shared" si="8"/>
        <v xml:space="preserve"> </v>
      </c>
    </row>
    <row r="97" spans="1:9" hidden="1" x14ac:dyDescent="0.15">
      <c r="A97" s="155" t="s">
        <v>89</v>
      </c>
      <c r="B97" s="155"/>
      <c r="C97" s="155"/>
      <c r="D97" s="31">
        <v>45277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5" t="s">
        <v>90</v>
      </c>
      <c r="B98" s="155"/>
      <c r="C98" s="155"/>
      <c r="D98" s="31">
        <v>45308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5" t="s">
        <v>91</v>
      </c>
      <c r="B99" s="155"/>
      <c r="C99" s="155"/>
      <c r="D99" s="31">
        <v>45339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5" t="s">
        <v>123</v>
      </c>
      <c r="B100" s="155"/>
      <c r="C100" s="155"/>
      <c r="D100" s="31">
        <v>45368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5" t="s">
        <v>124</v>
      </c>
      <c r="B101" s="155"/>
      <c r="C101" s="155"/>
      <c r="D101" s="31">
        <v>45399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28"/>
      <c r="B102" s="128"/>
      <c r="C102" s="128"/>
      <c r="D102" s="31">
        <v>45429</v>
      </c>
      <c r="E102" s="54"/>
      <c r="F102" s="53"/>
      <c r="G102" s="45"/>
    </row>
    <row r="103" spans="1:9" hidden="1" x14ac:dyDescent="0.15">
      <c r="A103" s="128"/>
      <c r="B103" s="128"/>
      <c r="C103" s="128"/>
      <c r="D103" s="31">
        <v>45460</v>
      </c>
      <c r="E103" s="54"/>
      <c r="F103" s="53"/>
      <c r="G103" s="45"/>
    </row>
    <row r="104" spans="1:9" hidden="1" x14ac:dyDescent="0.15">
      <c r="A104" s="128"/>
      <c r="B104" s="128"/>
      <c r="C104" s="128"/>
      <c r="D104" s="31">
        <v>45490</v>
      </c>
      <c r="E104" s="54"/>
      <c r="F104" s="53"/>
      <c r="G104" s="45"/>
    </row>
    <row r="105" spans="1:9" x14ac:dyDescent="0.15">
      <c r="B105" s="52"/>
      <c r="E105" s="51"/>
      <c r="F105" s="50"/>
      <c r="G105" s="49"/>
    </row>
    <row r="106" spans="1:9" x14ac:dyDescent="0.15">
      <c r="A106" s="48" t="s">
        <v>92</v>
      </c>
    </row>
    <row r="107" spans="1:9" hidden="1" x14ac:dyDescent="0.15">
      <c r="B107" s="41" t="s">
        <v>93</v>
      </c>
      <c r="F107" s="47">
        <f>D66</f>
        <v>44563</v>
      </c>
    </row>
    <row r="108" spans="1:9" x14ac:dyDescent="0.15">
      <c r="B108" s="41" t="s">
        <v>94</v>
      </c>
      <c r="F108" s="47">
        <f>D71+30</f>
        <v>44744</v>
      </c>
      <c r="G108" s="46">
        <f>ROUND(((G24+G25)*((100-A33)/100))+(G29*(100-A33)/100),2)</f>
        <v>1120123.2</v>
      </c>
      <c r="I108" s="45"/>
    </row>
    <row r="109" spans="1:9" hidden="1" x14ac:dyDescent="0.15">
      <c r="B109" s="41" t="s">
        <v>95</v>
      </c>
    </row>
    <row r="110" spans="1:9" ht="12.75" customHeight="1" x14ac:dyDescent="0.15"/>
    <row r="111" spans="1:9" x14ac:dyDescent="0.15">
      <c r="A111" s="44" t="s">
        <v>96</v>
      </c>
      <c r="B111" s="43"/>
      <c r="C111" s="43"/>
      <c r="D111" s="43"/>
    </row>
    <row r="112" spans="1:9" x14ac:dyDescent="0.15">
      <c r="A112" s="154" t="s">
        <v>97</v>
      </c>
      <c r="B112" s="154"/>
      <c r="C112" s="154"/>
      <c r="D112" s="154"/>
      <c r="E112" s="154"/>
      <c r="F112" s="154"/>
      <c r="G112" s="154"/>
    </row>
    <row r="113" spans="1:7" x14ac:dyDescent="0.15">
      <c r="A113" s="43" t="s">
        <v>98</v>
      </c>
      <c r="B113" s="43"/>
      <c r="C113" s="43"/>
      <c r="D113" s="43"/>
    </row>
    <row r="114" spans="1:7" x14ac:dyDescent="0.15">
      <c r="A114" s="43" t="s">
        <v>99</v>
      </c>
      <c r="B114" s="43"/>
      <c r="C114" s="43"/>
      <c r="D114" s="43"/>
    </row>
    <row r="115" spans="1:7" x14ac:dyDescent="0.15">
      <c r="A115" s="43" t="s">
        <v>100</v>
      </c>
      <c r="B115" s="43"/>
      <c r="C115" s="43"/>
      <c r="D115" s="43"/>
    </row>
    <row r="116" spans="1:7" x14ac:dyDescent="0.15">
      <c r="A116" s="127" t="s">
        <v>101</v>
      </c>
      <c r="B116" s="43"/>
      <c r="C116" s="43"/>
      <c r="D116" s="43"/>
    </row>
    <row r="117" spans="1:7" x14ac:dyDescent="0.15">
      <c r="A117" s="127" t="s">
        <v>102</v>
      </c>
      <c r="B117" s="43"/>
      <c r="C117" s="43"/>
      <c r="D117" s="43"/>
    </row>
    <row r="118" spans="1:7" x14ac:dyDescent="0.15">
      <c r="A118" s="127" t="s">
        <v>103</v>
      </c>
      <c r="B118" s="43"/>
      <c r="C118" s="43"/>
      <c r="D118" s="43"/>
    </row>
    <row r="119" spans="1:7" x14ac:dyDescent="0.15">
      <c r="A119" s="127" t="s">
        <v>104</v>
      </c>
      <c r="B119" s="43"/>
      <c r="C119" s="43"/>
      <c r="D119" s="43"/>
    </row>
    <row r="120" spans="1:7" x14ac:dyDescent="0.15">
      <c r="A120" s="127" t="s">
        <v>105</v>
      </c>
      <c r="B120" s="43"/>
      <c r="C120" s="43"/>
      <c r="D120" s="43"/>
    </row>
    <row r="121" spans="1:7" x14ac:dyDescent="0.15">
      <c r="A121" s="154" t="s">
        <v>106</v>
      </c>
      <c r="B121" s="154"/>
      <c r="C121" s="154"/>
      <c r="D121" s="154"/>
      <c r="E121" s="154"/>
      <c r="F121" s="154"/>
      <c r="G121" s="154"/>
    </row>
    <row r="122" spans="1:7" ht="12.75" customHeight="1" x14ac:dyDescent="0.15"/>
    <row r="123" spans="1:7" ht="12.75" customHeight="1" x14ac:dyDescent="0.15"/>
    <row r="124" spans="1:7" x14ac:dyDescent="0.15">
      <c r="A124" s="41" t="s">
        <v>107</v>
      </c>
      <c r="E124" s="41" t="s">
        <v>108</v>
      </c>
    </row>
    <row r="125" spans="1:7" ht="12.75" customHeight="1" x14ac:dyDescent="0.15"/>
    <row r="126" spans="1:7" ht="12.75" customHeight="1" x14ac:dyDescent="0.15"/>
    <row r="127" spans="1:7" x14ac:dyDescent="0.15">
      <c r="A127" s="42"/>
      <c r="B127" s="42"/>
      <c r="C127" s="42"/>
      <c r="E127" s="42"/>
      <c r="F127" s="42"/>
      <c r="G127" s="42"/>
    </row>
    <row r="128" spans="1:7" x14ac:dyDescent="0.15">
      <c r="A128" s="41" t="s">
        <v>109</v>
      </c>
      <c r="E128" s="41" t="s">
        <v>109</v>
      </c>
    </row>
    <row r="129" spans="1:5" x14ac:dyDescent="0.15">
      <c r="A129" s="41" t="s">
        <v>110</v>
      </c>
      <c r="E129" s="41" t="s">
        <v>111</v>
      </c>
    </row>
    <row r="130" spans="1:5" ht="12.75" customHeight="1" x14ac:dyDescent="0.15"/>
    <row r="131" spans="1:5" ht="12.75" customHeight="1" x14ac:dyDescent="0.15"/>
    <row r="132" spans="1:5" x14ac:dyDescent="0.15">
      <c r="A132" s="41" t="s">
        <v>112</v>
      </c>
    </row>
    <row r="133" spans="1:5" ht="12.75" customHeight="1" x14ac:dyDescent="0.15"/>
    <row r="134" spans="1:5" ht="12.75" customHeight="1" x14ac:dyDescent="0.15"/>
    <row r="135" spans="1:5" x14ac:dyDescent="0.15">
      <c r="A135" s="42"/>
      <c r="B135" s="42"/>
      <c r="C135" s="42"/>
    </row>
    <row r="136" spans="1:5" x14ac:dyDescent="0.15">
      <c r="A136" s="41" t="s">
        <v>109</v>
      </c>
    </row>
    <row r="137" spans="1:5" x14ac:dyDescent="0.15">
      <c r="A137" s="41" t="s">
        <v>113</v>
      </c>
    </row>
  </sheetData>
  <mergeCells count="62">
    <mergeCell ref="B1:F1"/>
    <mergeCell ref="B2:F2"/>
    <mergeCell ref="A3:G3"/>
    <mergeCell ref="F6:G6"/>
    <mergeCell ref="F7:G7"/>
    <mergeCell ref="B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112:G112"/>
    <mergeCell ref="A121:G121"/>
    <mergeCell ref="A96:C96"/>
    <mergeCell ref="A97:C97"/>
    <mergeCell ref="A98:C98"/>
    <mergeCell ref="A99:C99"/>
    <mergeCell ref="A100:C100"/>
    <mergeCell ref="A101:C101"/>
  </mergeCells>
  <conditionalFormatting sqref="B11 B25">
    <cfRule type="expression" dxfId="75" priority="1" stopIfTrue="1">
      <formula>G11=0</formula>
    </cfRule>
  </conditionalFormatting>
  <conditionalFormatting sqref="A49:C56">
    <cfRule type="expression" dxfId="74" priority="2" stopIfTrue="1">
      <formula>VALUE(NoDPSchedule)&lt;VALUE(LEFT(A49,1))</formula>
    </cfRule>
  </conditionalFormatting>
  <conditionalFormatting sqref="A57:C104">
    <cfRule type="expression" dxfId="73" priority="3" stopIfTrue="1">
      <formula>VALUE(NoDPSchedule)&lt;VALUE(LEFT(A57,2))</formula>
    </cfRule>
  </conditionalFormatting>
  <conditionalFormatting sqref="G11 G25">
    <cfRule type="expression" dxfId="72" priority="4" stopIfTrue="1">
      <formula>G11=0</formula>
    </cfRule>
  </conditionalFormatting>
  <conditionalFormatting sqref="D4">
    <cfRule type="expression" dxfId="71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67" orientation="portrait" horizontalDpi="42949672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7"/>
  <sheetViews>
    <sheetView topLeftCell="A35" workbookViewId="0">
      <selection activeCell="D48" sqref="D48:D49"/>
    </sheetView>
  </sheetViews>
  <sheetFormatPr baseColWidth="10" defaultColWidth="12.33203125" defaultRowHeight="13" x14ac:dyDescent="0.15"/>
  <cols>
    <col min="1" max="5" width="12.33203125" style="41"/>
    <col min="6" max="6" width="37" style="41" customWidth="1"/>
    <col min="7" max="7" width="18.6640625" style="41" customWidth="1"/>
    <col min="8" max="8" width="13.6640625" style="41" hidden="1" customWidth="1"/>
    <col min="9" max="11" width="12.33203125" style="41" hidden="1" customWidth="1"/>
    <col min="12" max="12" width="15.5" style="41" customWidth="1"/>
    <col min="13" max="14" width="12.33203125" style="41" customWidth="1"/>
    <col min="15" max="16384" width="12.33203125" style="41"/>
  </cols>
  <sheetData>
    <row r="1" spans="1:12" ht="14.25" customHeight="1" thickTop="1" x14ac:dyDescent="0.2">
      <c r="A1" s="83"/>
      <c r="B1" s="157" t="s">
        <v>0</v>
      </c>
      <c r="C1" s="157"/>
      <c r="D1" s="157"/>
      <c r="E1" s="157"/>
      <c r="F1" s="157"/>
      <c r="G1" s="82"/>
    </row>
    <row r="2" spans="1:12" ht="14.25" customHeight="1" x14ac:dyDescent="0.15">
      <c r="A2" s="81"/>
      <c r="B2" s="158" t="s">
        <v>1</v>
      </c>
      <c r="C2" s="158"/>
      <c r="D2" s="158"/>
      <c r="E2" s="158"/>
      <c r="F2" s="158"/>
      <c r="G2" s="80"/>
    </row>
    <row r="3" spans="1:12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2" ht="15" customHeight="1" thickBot="1" x14ac:dyDescent="0.2">
      <c r="A4" s="79">
        <f>IF(A47&lt;=12,12,A47)</f>
        <v>48</v>
      </c>
      <c r="B4" s="78"/>
      <c r="C4" s="78"/>
      <c r="D4" s="98" t="s">
        <v>115</v>
      </c>
      <c r="E4" s="78"/>
      <c r="F4" s="78"/>
      <c r="G4" s="77"/>
    </row>
    <row r="5" spans="1:12" ht="13.5" customHeight="1" thickTop="1" x14ac:dyDescent="0.15">
      <c r="G5" s="76">
        <v>24</v>
      </c>
    </row>
    <row r="6" spans="1:12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  <c r="I6" s="41" t="s">
        <v>125</v>
      </c>
      <c r="J6" s="41" t="s">
        <v>126</v>
      </c>
      <c r="K6" s="41">
        <v>38.200000000000003</v>
      </c>
    </row>
    <row r="7" spans="1:12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</row>
    <row r="8" spans="1:12" ht="12.75" customHeight="1" x14ac:dyDescent="0.15"/>
    <row r="9" spans="1:12" ht="12.75" customHeight="1" x14ac:dyDescent="0.15"/>
    <row r="10" spans="1:12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  <c r="L10" s="95"/>
    </row>
    <row r="11" spans="1:12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160800</v>
      </c>
      <c r="H11" s="95">
        <f>G10-G11</f>
        <v>1340000</v>
      </c>
    </row>
    <row r="12" spans="1:12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13400</v>
      </c>
      <c r="I12" s="45"/>
      <c r="J12" s="45"/>
    </row>
    <row r="13" spans="1:12" hidden="1" x14ac:dyDescent="0.15">
      <c r="B13" s="41" t="s">
        <v>14</v>
      </c>
      <c r="D13" s="38"/>
      <c r="G13" s="45"/>
      <c r="I13" s="45"/>
      <c r="J13" s="45"/>
    </row>
    <row r="14" spans="1:12" hidden="1" x14ac:dyDescent="0.15">
      <c r="B14" s="41" t="s">
        <v>15</v>
      </c>
      <c r="G14" s="45">
        <v>0</v>
      </c>
      <c r="I14" s="45"/>
      <c r="J14" s="45"/>
    </row>
    <row r="15" spans="1:12" hidden="1" x14ac:dyDescent="0.15">
      <c r="B15" s="41" t="s">
        <v>16</v>
      </c>
      <c r="G15" s="45">
        <v>0</v>
      </c>
      <c r="I15" s="45"/>
    </row>
    <row r="16" spans="1:12" ht="14" x14ac:dyDescent="0.2">
      <c r="B16" s="41" t="s">
        <v>18</v>
      </c>
      <c r="D16" s="38" t="s">
        <v>127</v>
      </c>
      <c r="E16"/>
      <c r="F16"/>
      <c r="G16" s="45">
        <v>50000</v>
      </c>
      <c r="I16" s="45"/>
    </row>
    <row r="17" spans="1:10" hidden="1" x14ac:dyDescent="0.15">
      <c r="B17" s="41" t="s">
        <v>19</v>
      </c>
      <c r="D17" s="38" t="s">
        <v>128</v>
      </c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hidden="1" x14ac:dyDescent="0.15">
      <c r="B20" s="41" t="s">
        <v>22</v>
      </c>
      <c r="G20" s="45">
        <v>0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(G10-G11)-SUM(G12:G22)</f>
        <v>1276600</v>
      </c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153192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89362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89362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1519154</v>
      </c>
    </row>
    <row r="31" spans="1:10" ht="12.75" customHeight="1" x14ac:dyDescent="0.15"/>
    <row r="32" spans="1:10" x14ac:dyDescent="0.15">
      <c r="A32" s="48" t="s">
        <v>31</v>
      </c>
    </row>
    <row r="33" spans="1:10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285958.40000000002</v>
      </c>
    </row>
    <row r="34" spans="1:10" ht="13.5" customHeight="1" thickBot="1" x14ac:dyDescent="0.2">
      <c r="A34" s="48"/>
      <c r="B34" s="41" t="s">
        <v>32</v>
      </c>
      <c r="G34" s="45">
        <f>ROUND(G29*(A33/100),2)</f>
        <v>17872.400000000001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303830.80000000005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44075.451322222223</v>
      </c>
      <c r="G36" s="45">
        <v>20000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283830.80000000005</v>
      </c>
    </row>
    <row r="38" spans="1:10" ht="12.75" customHeight="1" x14ac:dyDescent="0.15"/>
    <row r="39" spans="1:10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122979.2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8936.2000000000007</v>
      </c>
      <c r="J40" s="45"/>
    </row>
    <row r="41" spans="1:10" ht="13.5" customHeight="1" thickTop="1" x14ac:dyDescent="0.15">
      <c r="B41" s="44" t="s">
        <v>122</v>
      </c>
      <c r="E41" s="51"/>
      <c r="F41" s="99">
        <v>43851</v>
      </c>
      <c r="G41" s="61">
        <f>SUM(G39:G40)</f>
        <v>131915.4</v>
      </c>
    </row>
    <row r="42" spans="1:10" x14ac:dyDescent="0.15">
      <c r="B42" s="52"/>
      <c r="E42" s="51"/>
      <c r="F42" s="50"/>
      <c r="G42" s="49"/>
    </row>
    <row r="43" spans="1:10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142979.20000000001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8936.2000000000007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48 months</v>
      </c>
      <c r="E45" s="51"/>
      <c r="F45" s="50"/>
      <c r="G45" s="61">
        <f>SUM(G43:G44)</f>
        <v>151915.40000000002</v>
      </c>
    </row>
    <row r="46" spans="1:10" x14ac:dyDescent="0.15">
      <c r="B46" s="60"/>
      <c r="E46" s="51"/>
      <c r="F46" s="50"/>
      <c r="G46" s="49"/>
    </row>
    <row r="47" spans="1:10" ht="25.5" customHeight="1" x14ac:dyDescent="0.15">
      <c r="A47" s="59">
        <v>48</v>
      </c>
      <c r="B47" s="156" t="s">
        <v>36</v>
      </c>
      <c r="C47" s="156"/>
      <c r="D47" s="129" t="s">
        <v>37</v>
      </c>
      <c r="E47" s="58" t="s">
        <v>38</v>
      </c>
      <c r="F47" s="57" t="s">
        <v>27</v>
      </c>
      <c r="G47" s="56" t="s">
        <v>39</v>
      </c>
    </row>
    <row r="48" spans="1:10" x14ac:dyDescent="0.15">
      <c r="A48" s="155" t="s">
        <v>40</v>
      </c>
      <c r="B48" s="155"/>
      <c r="C48" s="155"/>
      <c r="D48" s="31">
        <v>43892</v>
      </c>
      <c r="E48" s="54">
        <f>ROUND(G43/A47,2)</f>
        <v>2978.73</v>
      </c>
      <c r="F48" s="53">
        <f>ROUND(G44/A47,2)</f>
        <v>186.17</v>
      </c>
      <c r="G48" s="45">
        <f>SUM(E48:F48)</f>
        <v>3164.9</v>
      </c>
    </row>
    <row r="49" spans="1:7" x14ac:dyDescent="0.15">
      <c r="A49" s="155" t="s">
        <v>41</v>
      </c>
      <c r="B49" s="155"/>
      <c r="C49" s="155"/>
      <c r="D49" s="31">
        <v>43923</v>
      </c>
      <c r="E49" s="54">
        <f t="shared" ref="E49:E56" si="0">IF($A$47&lt;VALUE(LEFT(A49,1))," ",IF($A$47=VALUE(LEFT(A49,1)),$G$43-($E$48*($A$47-1)),E48))</f>
        <v>2978.73</v>
      </c>
      <c r="F49" s="53">
        <f t="shared" ref="F49:F56" si="1">IF($A$47&lt;VALUE(LEFT(A49,1))," ",IF($A$47=VALUE(LEFT(A49,1)),$G$44-($F$48*($A$47-1)),F48))</f>
        <v>186.17</v>
      </c>
      <c r="G49" s="45">
        <f t="shared" ref="G49:G56" si="2">IF($A$47&lt;VALUE(LEFT(A49,1))," ",SUM(E49:F49))</f>
        <v>3164.9</v>
      </c>
    </row>
    <row r="50" spans="1:7" x14ac:dyDescent="0.15">
      <c r="A50" s="155" t="s">
        <v>42</v>
      </c>
      <c r="B50" s="155"/>
      <c r="C50" s="155"/>
      <c r="D50" s="31">
        <v>43953</v>
      </c>
      <c r="E50" s="54">
        <f t="shared" si="0"/>
        <v>2978.73</v>
      </c>
      <c r="F50" s="53">
        <f t="shared" si="1"/>
        <v>186.17</v>
      </c>
      <c r="G50" s="45">
        <f t="shared" si="2"/>
        <v>3164.9</v>
      </c>
    </row>
    <row r="51" spans="1:7" x14ac:dyDescent="0.15">
      <c r="A51" s="155" t="s">
        <v>43</v>
      </c>
      <c r="B51" s="155"/>
      <c r="C51" s="155"/>
      <c r="D51" s="31">
        <v>43984</v>
      </c>
      <c r="E51" s="54">
        <f t="shared" si="0"/>
        <v>2978.73</v>
      </c>
      <c r="F51" s="53">
        <f t="shared" si="1"/>
        <v>186.17</v>
      </c>
      <c r="G51" s="45">
        <f t="shared" si="2"/>
        <v>3164.9</v>
      </c>
    </row>
    <row r="52" spans="1:7" x14ac:dyDescent="0.15">
      <c r="A52" s="155" t="s">
        <v>44</v>
      </c>
      <c r="B52" s="155"/>
      <c r="C52" s="155"/>
      <c r="D52" s="31">
        <v>44014</v>
      </c>
      <c r="E52" s="54">
        <f t="shared" si="0"/>
        <v>2978.73</v>
      </c>
      <c r="F52" s="53">
        <f t="shared" si="1"/>
        <v>186.17</v>
      </c>
      <c r="G52" s="45">
        <f t="shared" si="2"/>
        <v>3164.9</v>
      </c>
    </row>
    <row r="53" spans="1:7" x14ac:dyDescent="0.15">
      <c r="A53" s="155" t="s">
        <v>45</v>
      </c>
      <c r="B53" s="155"/>
      <c r="C53" s="155"/>
      <c r="D53" s="31">
        <v>44045</v>
      </c>
      <c r="E53" s="54">
        <f t="shared" si="0"/>
        <v>2978.73</v>
      </c>
      <c r="F53" s="53">
        <f t="shared" si="1"/>
        <v>186.17</v>
      </c>
      <c r="G53" s="45">
        <f t="shared" si="2"/>
        <v>3164.9</v>
      </c>
    </row>
    <row r="54" spans="1:7" x14ac:dyDescent="0.15">
      <c r="A54" s="155" t="s">
        <v>46</v>
      </c>
      <c r="B54" s="155"/>
      <c r="C54" s="155"/>
      <c r="D54" s="31">
        <v>44076</v>
      </c>
      <c r="E54" s="54">
        <f t="shared" si="0"/>
        <v>2978.73</v>
      </c>
      <c r="F54" s="53">
        <f t="shared" si="1"/>
        <v>186.17</v>
      </c>
      <c r="G54" s="45">
        <f t="shared" si="2"/>
        <v>3164.9</v>
      </c>
    </row>
    <row r="55" spans="1:7" x14ac:dyDescent="0.15">
      <c r="A55" s="155" t="s">
        <v>47</v>
      </c>
      <c r="B55" s="155"/>
      <c r="C55" s="155"/>
      <c r="D55" s="31">
        <v>44106</v>
      </c>
      <c r="E55" s="54">
        <f t="shared" si="0"/>
        <v>2978.73</v>
      </c>
      <c r="F55" s="53">
        <f t="shared" si="1"/>
        <v>186.17</v>
      </c>
      <c r="G55" s="45">
        <f t="shared" si="2"/>
        <v>3164.9</v>
      </c>
    </row>
    <row r="56" spans="1:7" x14ac:dyDescent="0.15">
      <c r="A56" s="155" t="s">
        <v>48</v>
      </c>
      <c r="B56" s="155"/>
      <c r="C56" s="155"/>
      <c r="D56" s="31">
        <v>44137</v>
      </c>
      <c r="E56" s="54">
        <f t="shared" si="0"/>
        <v>2978.73</v>
      </c>
      <c r="F56" s="53">
        <f t="shared" si="1"/>
        <v>186.17</v>
      </c>
      <c r="G56" s="45">
        <f t="shared" si="2"/>
        <v>3164.9</v>
      </c>
    </row>
    <row r="57" spans="1:7" x14ac:dyDescent="0.15">
      <c r="A57" s="155" t="s">
        <v>49</v>
      </c>
      <c r="B57" s="155"/>
      <c r="C57" s="155"/>
      <c r="D57" s="31">
        <v>44167</v>
      </c>
      <c r="E57" s="54">
        <f t="shared" ref="E57:E81" si="3">IF($A$47&lt;VALUE(LEFT(A57,2))," ",IF($A$47=VALUE(LEFT(A57,2)),$G$43-($E$48*($A$47-1)),E56))</f>
        <v>2978.73</v>
      </c>
      <c r="F57" s="53">
        <f t="shared" ref="F57:F81" si="4">IF($A$47&lt;VALUE(LEFT(A57,2))," ",IF($A$47=VALUE(LEFT(A57,2)),$G$44-($F$48*($A$47-1)),F56))</f>
        <v>186.17</v>
      </c>
      <c r="G57" s="45">
        <f t="shared" ref="G57:G81" si="5">IF($A$47&lt;VALUE(LEFT(A57,2))," ",SUM(E57:F57))</f>
        <v>3164.9</v>
      </c>
    </row>
    <row r="58" spans="1:7" x14ac:dyDescent="0.15">
      <c r="A58" s="155" t="s">
        <v>50</v>
      </c>
      <c r="B58" s="155"/>
      <c r="C58" s="155"/>
      <c r="D58" s="31">
        <v>44198</v>
      </c>
      <c r="E58" s="54">
        <f t="shared" si="3"/>
        <v>2978.73</v>
      </c>
      <c r="F58" s="53">
        <f t="shared" si="4"/>
        <v>186.17</v>
      </c>
      <c r="G58" s="45">
        <f t="shared" si="5"/>
        <v>3164.9</v>
      </c>
    </row>
    <row r="59" spans="1:7" x14ac:dyDescent="0.15">
      <c r="A59" s="155" t="s">
        <v>51</v>
      </c>
      <c r="B59" s="155"/>
      <c r="C59" s="155"/>
      <c r="D59" s="31">
        <v>44229</v>
      </c>
      <c r="E59" s="54">
        <f t="shared" si="3"/>
        <v>2978.73</v>
      </c>
      <c r="F59" s="53">
        <f t="shared" si="4"/>
        <v>186.17</v>
      </c>
      <c r="G59" s="45">
        <f t="shared" si="5"/>
        <v>3164.9</v>
      </c>
    </row>
    <row r="60" spans="1:7" x14ac:dyDescent="0.15">
      <c r="A60" s="155" t="s">
        <v>52</v>
      </c>
      <c r="B60" s="155"/>
      <c r="C60" s="155"/>
      <c r="D60" s="31">
        <v>44257</v>
      </c>
      <c r="E60" s="54">
        <f t="shared" si="3"/>
        <v>2978.73</v>
      </c>
      <c r="F60" s="53">
        <f t="shared" si="4"/>
        <v>186.17</v>
      </c>
      <c r="G60" s="45">
        <f t="shared" si="5"/>
        <v>3164.9</v>
      </c>
    </row>
    <row r="61" spans="1:7" x14ac:dyDescent="0.15">
      <c r="A61" s="155" t="s">
        <v>53</v>
      </c>
      <c r="B61" s="155"/>
      <c r="C61" s="155"/>
      <c r="D61" s="31">
        <v>44288</v>
      </c>
      <c r="E61" s="54">
        <f t="shared" si="3"/>
        <v>2978.73</v>
      </c>
      <c r="F61" s="53">
        <f t="shared" si="4"/>
        <v>186.17</v>
      </c>
      <c r="G61" s="45">
        <f t="shared" si="5"/>
        <v>3164.9</v>
      </c>
    </row>
    <row r="62" spans="1:7" x14ac:dyDescent="0.15">
      <c r="A62" s="155" t="s">
        <v>54</v>
      </c>
      <c r="B62" s="155"/>
      <c r="C62" s="155"/>
      <c r="D62" s="31">
        <v>44318</v>
      </c>
      <c r="E62" s="54">
        <f t="shared" si="3"/>
        <v>2978.73</v>
      </c>
      <c r="F62" s="53">
        <f t="shared" si="4"/>
        <v>186.17</v>
      </c>
      <c r="G62" s="45">
        <f t="shared" si="5"/>
        <v>3164.9</v>
      </c>
    </row>
    <row r="63" spans="1:7" x14ac:dyDescent="0.15">
      <c r="A63" s="155" t="s">
        <v>55</v>
      </c>
      <c r="B63" s="155"/>
      <c r="C63" s="155"/>
      <c r="D63" s="31">
        <v>44349</v>
      </c>
      <c r="E63" s="54">
        <f t="shared" si="3"/>
        <v>2978.73</v>
      </c>
      <c r="F63" s="53">
        <f t="shared" si="4"/>
        <v>186.17</v>
      </c>
      <c r="G63" s="45">
        <f t="shared" si="5"/>
        <v>3164.9</v>
      </c>
    </row>
    <row r="64" spans="1:7" x14ac:dyDescent="0.15">
      <c r="A64" s="155" t="s">
        <v>56</v>
      </c>
      <c r="B64" s="155"/>
      <c r="C64" s="155"/>
      <c r="D64" s="31">
        <v>44379</v>
      </c>
      <c r="E64" s="54">
        <f t="shared" si="3"/>
        <v>2978.73</v>
      </c>
      <c r="F64" s="53">
        <f t="shared" si="4"/>
        <v>186.17</v>
      </c>
      <c r="G64" s="45">
        <f t="shared" si="5"/>
        <v>3164.9</v>
      </c>
    </row>
    <row r="65" spans="1:7" x14ac:dyDescent="0.15">
      <c r="A65" s="155" t="s">
        <v>57</v>
      </c>
      <c r="B65" s="155"/>
      <c r="C65" s="155"/>
      <c r="D65" s="31">
        <v>44410</v>
      </c>
      <c r="E65" s="54">
        <f t="shared" si="3"/>
        <v>2978.73</v>
      </c>
      <c r="F65" s="53">
        <f t="shared" si="4"/>
        <v>186.17</v>
      </c>
      <c r="G65" s="45">
        <f t="shared" si="5"/>
        <v>3164.9</v>
      </c>
    </row>
    <row r="66" spans="1:7" x14ac:dyDescent="0.15">
      <c r="A66" s="155" t="s">
        <v>58</v>
      </c>
      <c r="B66" s="155"/>
      <c r="C66" s="155"/>
      <c r="D66" s="31">
        <v>44441</v>
      </c>
      <c r="E66" s="54">
        <f t="shared" si="3"/>
        <v>2978.73</v>
      </c>
      <c r="F66" s="53">
        <f t="shared" si="4"/>
        <v>186.17</v>
      </c>
      <c r="G66" s="45">
        <f t="shared" si="5"/>
        <v>3164.9</v>
      </c>
    </row>
    <row r="67" spans="1:7" x14ac:dyDescent="0.15">
      <c r="A67" s="155" t="s">
        <v>59</v>
      </c>
      <c r="B67" s="155"/>
      <c r="C67" s="155"/>
      <c r="D67" s="31">
        <v>44471</v>
      </c>
      <c r="E67" s="54">
        <f t="shared" si="3"/>
        <v>2978.73</v>
      </c>
      <c r="F67" s="53">
        <f t="shared" si="4"/>
        <v>186.17</v>
      </c>
      <c r="G67" s="45">
        <f t="shared" si="5"/>
        <v>3164.9</v>
      </c>
    </row>
    <row r="68" spans="1:7" x14ac:dyDescent="0.15">
      <c r="A68" s="155" t="s">
        <v>60</v>
      </c>
      <c r="B68" s="155"/>
      <c r="C68" s="155"/>
      <c r="D68" s="31">
        <v>44502</v>
      </c>
      <c r="E68" s="54">
        <f t="shared" si="3"/>
        <v>2978.73</v>
      </c>
      <c r="F68" s="53">
        <f t="shared" si="4"/>
        <v>186.17</v>
      </c>
      <c r="G68" s="45">
        <f t="shared" si="5"/>
        <v>3164.9</v>
      </c>
    </row>
    <row r="69" spans="1:7" x14ac:dyDescent="0.15">
      <c r="A69" s="155" t="s">
        <v>61</v>
      </c>
      <c r="B69" s="155"/>
      <c r="C69" s="155"/>
      <c r="D69" s="31">
        <v>44532</v>
      </c>
      <c r="E69" s="54">
        <f t="shared" si="3"/>
        <v>2978.73</v>
      </c>
      <c r="F69" s="53">
        <f t="shared" si="4"/>
        <v>186.17</v>
      </c>
      <c r="G69" s="45">
        <f t="shared" si="5"/>
        <v>3164.9</v>
      </c>
    </row>
    <row r="70" spans="1:7" x14ac:dyDescent="0.15">
      <c r="A70" s="155" t="s">
        <v>62</v>
      </c>
      <c r="B70" s="155"/>
      <c r="C70" s="155"/>
      <c r="D70" s="31">
        <v>44563</v>
      </c>
      <c r="E70" s="54">
        <f t="shared" si="3"/>
        <v>2978.73</v>
      </c>
      <c r="F70" s="53">
        <f t="shared" si="4"/>
        <v>186.17</v>
      </c>
      <c r="G70" s="45">
        <f t="shared" si="5"/>
        <v>3164.9</v>
      </c>
    </row>
    <row r="71" spans="1:7" x14ac:dyDescent="0.15">
      <c r="A71" s="155" t="s">
        <v>63</v>
      </c>
      <c r="B71" s="155"/>
      <c r="C71" s="155"/>
      <c r="D71" s="31">
        <v>44594</v>
      </c>
      <c r="E71" s="54">
        <f t="shared" si="3"/>
        <v>2978.73</v>
      </c>
      <c r="F71" s="53">
        <f t="shared" si="4"/>
        <v>186.17</v>
      </c>
      <c r="G71" s="45">
        <f t="shared" si="5"/>
        <v>3164.9</v>
      </c>
    </row>
    <row r="72" spans="1:7" x14ac:dyDescent="0.15">
      <c r="A72" s="155" t="s">
        <v>64</v>
      </c>
      <c r="B72" s="155"/>
      <c r="C72" s="155"/>
      <c r="D72" s="31">
        <v>44622</v>
      </c>
      <c r="E72" s="54">
        <f t="shared" si="3"/>
        <v>2978.73</v>
      </c>
      <c r="F72" s="53">
        <f t="shared" si="4"/>
        <v>186.17</v>
      </c>
      <c r="G72" s="45">
        <f t="shared" si="5"/>
        <v>3164.9</v>
      </c>
    </row>
    <row r="73" spans="1:7" x14ac:dyDescent="0.15">
      <c r="A73" s="155" t="s">
        <v>65</v>
      </c>
      <c r="B73" s="155"/>
      <c r="C73" s="155"/>
      <c r="D73" s="31">
        <v>44653</v>
      </c>
      <c r="E73" s="54">
        <f t="shared" si="3"/>
        <v>2978.73</v>
      </c>
      <c r="F73" s="53">
        <f t="shared" si="4"/>
        <v>186.17</v>
      </c>
      <c r="G73" s="45">
        <f t="shared" si="5"/>
        <v>3164.9</v>
      </c>
    </row>
    <row r="74" spans="1:7" x14ac:dyDescent="0.15">
      <c r="A74" s="155" t="s">
        <v>66</v>
      </c>
      <c r="B74" s="155"/>
      <c r="C74" s="155"/>
      <c r="D74" s="31">
        <v>44683</v>
      </c>
      <c r="E74" s="54">
        <f t="shared" si="3"/>
        <v>2978.73</v>
      </c>
      <c r="F74" s="53">
        <f t="shared" si="4"/>
        <v>186.17</v>
      </c>
      <c r="G74" s="45">
        <f t="shared" si="5"/>
        <v>3164.9</v>
      </c>
    </row>
    <row r="75" spans="1:7" x14ac:dyDescent="0.15">
      <c r="A75" s="155" t="s">
        <v>67</v>
      </c>
      <c r="B75" s="155"/>
      <c r="C75" s="155"/>
      <c r="D75" s="31">
        <v>44714</v>
      </c>
      <c r="E75" s="54">
        <f t="shared" si="3"/>
        <v>2978.73</v>
      </c>
      <c r="F75" s="53">
        <f t="shared" si="4"/>
        <v>186.17</v>
      </c>
      <c r="G75" s="45">
        <f t="shared" si="5"/>
        <v>3164.9</v>
      </c>
    </row>
    <row r="76" spans="1:7" x14ac:dyDescent="0.15">
      <c r="A76" s="155" t="s">
        <v>68</v>
      </c>
      <c r="B76" s="155"/>
      <c r="C76" s="155"/>
      <c r="D76" s="31">
        <v>44744</v>
      </c>
      <c r="E76" s="54">
        <f t="shared" si="3"/>
        <v>2978.73</v>
      </c>
      <c r="F76" s="53">
        <f t="shared" si="4"/>
        <v>186.17</v>
      </c>
      <c r="G76" s="45">
        <f t="shared" si="5"/>
        <v>3164.9</v>
      </c>
    </row>
    <row r="77" spans="1:7" x14ac:dyDescent="0.15">
      <c r="A77" s="155" t="s">
        <v>69</v>
      </c>
      <c r="B77" s="155"/>
      <c r="C77" s="155"/>
      <c r="D77" s="31">
        <v>44775</v>
      </c>
      <c r="E77" s="54">
        <f t="shared" si="3"/>
        <v>2978.73</v>
      </c>
      <c r="F77" s="53">
        <f t="shared" si="4"/>
        <v>186.17</v>
      </c>
      <c r="G77" s="45">
        <f t="shared" si="5"/>
        <v>3164.9</v>
      </c>
    </row>
    <row r="78" spans="1:7" x14ac:dyDescent="0.15">
      <c r="A78" s="155" t="s">
        <v>70</v>
      </c>
      <c r="B78" s="155"/>
      <c r="C78" s="155"/>
      <c r="D78" s="31">
        <v>44806</v>
      </c>
      <c r="E78" s="54">
        <f t="shared" si="3"/>
        <v>2978.73</v>
      </c>
      <c r="F78" s="53">
        <f t="shared" si="4"/>
        <v>186.17</v>
      </c>
      <c r="G78" s="45">
        <f t="shared" si="5"/>
        <v>3164.9</v>
      </c>
    </row>
    <row r="79" spans="1:7" x14ac:dyDescent="0.15">
      <c r="A79" s="155" t="s">
        <v>71</v>
      </c>
      <c r="B79" s="155"/>
      <c r="C79" s="155"/>
      <c r="D79" s="31">
        <v>44836</v>
      </c>
      <c r="E79" s="54">
        <f t="shared" si="3"/>
        <v>2978.73</v>
      </c>
      <c r="F79" s="53">
        <f t="shared" si="4"/>
        <v>186.17</v>
      </c>
      <c r="G79" s="45">
        <f t="shared" si="5"/>
        <v>3164.9</v>
      </c>
    </row>
    <row r="80" spans="1:7" x14ac:dyDescent="0.15">
      <c r="A80" s="155" t="s">
        <v>72</v>
      </c>
      <c r="B80" s="155"/>
      <c r="C80" s="155"/>
      <c r="D80" s="31">
        <v>44867</v>
      </c>
      <c r="E80" s="54">
        <f t="shared" si="3"/>
        <v>2978.73</v>
      </c>
      <c r="F80" s="53">
        <f t="shared" si="4"/>
        <v>186.17</v>
      </c>
      <c r="G80" s="45">
        <f t="shared" si="5"/>
        <v>3164.9</v>
      </c>
    </row>
    <row r="81" spans="1:7" x14ac:dyDescent="0.15">
      <c r="A81" s="155" t="s">
        <v>73</v>
      </c>
      <c r="B81" s="155"/>
      <c r="C81" s="155"/>
      <c r="D81" s="31">
        <v>44897</v>
      </c>
      <c r="E81" s="54">
        <f t="shared" si="3"/>
        <v>2978.73</v>
      </c>
      <c r="F81" s="53">
        <f t="shared" si="4"/>
        <v>186.17</v>
      </c>
      <c r="G81" s="45">
        <f t="shared" si="5"/>
        <v>3164.9</v>
      </c>
    </row>
    <row r="82" spans="1:7" x14ac:dyDescent="0.15">
      <c r="A82" s="155" t="s">
        <v>74</v>
      </c>
      <c r="B82" s="155"/>
      <c r="C82" s="155"/>
      <c r="D82" s="31">
        <v>44928</v>
      </c>
      <c r="E82" s="54">
        <f>IF($A$47&lt;VALUE(LEFT(A82,2))," ",IF($A$47=VALUE(LEFT(A82,2)),$G$43-($E$48*($A$47-1)),E81))</f>
        <v>2978.73</v>
      </c>
      <c r="F82" s="53">
        <f>IF($A$47&lt;VALUE(LEFT(A82,2))," ",IF($A$47=VALUE(LEFT(A82,2)),$G$44-($F$48*($A$47-1)),F81))</f>
        <v>186.17</v>
      </c>
      <c r="G82" s="45">
        <f>IF($A$47&lt;VALUE(LEFT(A82,2))," ",SUM(E82:F82))</f>
        <v>3164.9</v>
      </c>
    </row>
    <row r="83" spans="1:7" x14ac:dyDescent="0.15">
      <c r="A83" s="155" t="s">
        <v>75</v>
      </c>
      <c r="B83" s="155"/>
      <c r="C83" s="155"/>
      <c r="D83" s="31">
        <v>44959</v>
      </c>
      <c r="E83" s="54">
        <f>IF($A$47&lt;VALUE(LEFT(A83,2))," ",IF($A$47=VALUE(LEFT(A83,2)),$G$43-($E$48*($A$47-1)),E82))</f>
        <v>2978.73</v>
      </c>
      <c r="F83" s="53">
        <f>IF($A$47&lt;VALUE(LEFT(A83,2))," ",IF($A$47=VALUE(LEFT(A83,2)),$G$44-($F$48*($A$47-1)),F82))</f>
        <v>186.17</v>
      </c>
      <c r="G83" s="45">
        <f>IF($A$47&lt;VALUE(LEFT(A83,2))," ",SUM(E83:F83))</f>
        <v>3164.9</v>
      </c>
    </row>
    <row r="84" spans="1:7" x14ac:dyDescent="0.15">
      <c r="A84" s="161" t="s">
        <v>76</v>
      </c>
      <c r="B84" s="161"/>
      <c r="C84" s="161"/>
      <c r="D84" s="31">
        <v>44987</v>
      </c>
      <c r="E84" s="54">
        <f t="shared" ref="E84:E101" si="6">IF($A$47&lt;VALUE(LEFT(A84,2))," ",IF($A$47=VALUE(LEFT(A84,2)),$G$43-($E$48*($A$47-1)),E83))</f>
        <v>2978.73</v>
      </c>
      <c r="F84" s="53">
        <f>IF($A$47&lt;VALUE(LEFT(A84,2))," ",IF($A$47=VALUE(LEFT(A84,2)),$G$44-($F$48*($A$47-1)),F83))</f>
        <v>186.17</v>
      </c>
      <c r="G84" s="45">
        <f t="shared" ref="G84:G101" si="7">IF($A$47&lt;VALUE(LEFT(A84,2))," ",SUM(E84:F84))</f>
        <v>3164.9</v>
      </c>
    </row>
    <row r="85" spans="1:7" x14ac:dyDescent="0.15">
      <c r="A85" s="161" t="s">
        <v>77</v>
      </c>
      <c r="B85" s="161"/>
      <c r="C85" s="161"/>
      <c r="D85" s="31">
        <v>45018</v>
      </c>
      <c r="E85" s="54">
        <f t="shared" si="6"/>
        <v>2978.73</v>
      </c>
      <c r="F85" s="53">
        <f t="shared" ref="F85:F101" si="8">IF($A$47&lt;VALUE(LEFT(A85,2))," ",IF($A$47=VALUE(LEFT(A85,2)),$G$44-($F$48*($A$47-1)),F84))</f>
        <v>186.17</v>
      </c>
      <c r="G85" s="45">
        <f t="shared" si="7"/>
        <v>3164.9</v>
      </c>
    </row>
    <row r="86" spans="1:7" x14ac:dyDescent="0.15">
      <c r="A86" s="161" t="s">
        <v>78</v>
      </c>
      <c r="B86" s="161"/>
      <c r="C86" s="161"/>
      <c r="D86" s="31">
        <v>45048</v>
      </c>
      <c r="E86" s="54">
        <f t="shared" si="6"/>
        <v>2978.73</v>
      </c>
      <c r="F86" s="53">
        <f t="shared" si="8"/>
        <v>186.17</v>
      </c>
      <c r="G86" s="45">
        <f t="shared" si="7"/>
        <v>3164.9</v>
      </c>
    </row>
    <row r="87" spans="1:7" x14ac:dyDescent="0.15">
      <c r="A87" s="161" t="s">
        <v>79</v>
      </c>
      <c r="B87" s="161"/>
      <c r="C87" s="161"/>
      <c r="D87" s="31">
        <v>45079</v>
      </c>
      <c r="E87" s="54">
        <f t="shared" si="6"/>
        <v>2978.73</v>
      </c>
      <c r="F87" s="53">
        <f t="shared" si="8"/>
        <v>186.17</v>
      </c>
      <c r="G87" s="45">
        <f t="shared" si="7"/>
        <v>3164.9</v>
      </c>
    </row>
    <row r="88" spans="1:7" x14ac:dyDescent="0.15">
      <c r="A88" s="161" t="s">
        <v>80</v>
      </c>
      <c r="B88" s="161"/>
      <c r="C88" s="161"/>
      <c r="D88" s="31">
        <v>45109</v>
      </c>
      <c r="E88" s="54">
        <f t="shared" si="6"/>
        <v>2978.73</v>
      </c>
      <c r="F88" s="53">
        <f t="shared" si="8"/>
        <v>186.17</v>
      </c>
      <c r="G88" s="45">
        <f t="shared" si="7"/>
        <v>3164.9</v>
      </c>
    </row>
    <row r="89" spans="1:7" x14ac:dyDescent="0.15">
      <c r="A89" s="161" t="s">
        <v>81</v>
      </c>
      <c r="B89" s="161"/>
      <c r="C89" s="161"/>
      <c r="D89" s="31">
        <v>45140</v>
      </c>
      <c r="E89" s="54">
        <f t="shared" si="6"/>
        <v>2978.73</v>
      </c>
      <c r="F89" s="53">
        <f t="shared" si="8"/>
        <v>186.17</v>
      </c>
      <c r="G89" s="45">
        <f t="shared" si="7"/>
        <v>3164.9</v>
      </c>
    </row>
    <row r="90" spans="1:7" x14ac:dyDescent="0.15">
      <c r="A90" s="161" t="s">
        <v>82</v>
      </c>
      <c r="B90" s="161"/>
      <c r="C90" s="161"/>
      <c r="D90" s="31">
        <v>45171</v>
      </c>
      <c r="E90" s="54">
        <f t="shared" si="6"/>
        <v>2978.73</v>
      </c>
      <c r="F90" s="53">
        <f t="shared" si="8"/>
        <v>186.17</v>
      </c>
      <c r="G90" s="45">
        <f t="shared" si="7"/>
        <v>3164.9</v>
      </c>
    </row>
    <row r="91" spans="1:7" x14ac:dyDescent="0.15">
      <c r="A91" s="161" t="s">
        <v>83</v>
      </c>
      <c r="B91" s="161"/>
      <c r="C91" s="161"/>
      <c r="D91" s="31">
        <v>45201</v>
      </c>
      <c r="E91" s="54">
        <f t="shared" si="6"/>
        <v>2978.73</v>
      </c>
      <c r="F91" s="53">
        <f t="shared" si="8"/>
        <v>186.17</v>
      </c>
      <c r="G91" s="45">
        <f t="shared" si="7"/>
        <v>3164.9</v>
      </c>
    </row>
    <row r="92" spans="1:7" x14ac:dyDescent="0.15">
      <c r="A92" s="161" t="s">
        <v>84</v>
      </c>
      <c r="B92" s="161"/>
      <c r="C92" s="161"/>
      <c r="D92" s="31">
        <v>45232</v>
      </c>
      <c r="E92" s="54">
        <f t="shared" si="6"/>
        <v>2978.73</v>
      </c>
      <c r="F92" s="53">
        <f t="shared" si="8"/>
        <v>186.17</v>
      </c>
      <c r="G92" s="45">
        <f t="shared" si="7"/>
        <v>3164.9</v>
      </c>
    </row>
    <row r="93" spans="1:7" x14ac:dyDescent="0.15">
      <c r="A93" s="161" t="s">
        <v>85</v>
      </c>
      <c r="B93" s="161"/>
      <c r="C93" s="161"/>
      <c r="D93" s="31">
        <v>45262</v>
      </c>
      <c r="E93" s="54">
        <f t="shared" si="6"/>
        <v>2978.73</v>
      </c>
      <c r="F93" s="53">
        <f t="shared" si="8"/>
        <v>186.17</v>
      </c>
      <c r="G93" s="45">
        <f t="shared" si="7"/>
        <v>3164.9</v>
      </c>
    </row>
    <row r="94" spans="1:7" x14ac:dyDescent="0.15">
      <c r="A94" s="161" t="s">
        <v>86</v>
      </c>
      <c r="B94" s="161"/>
      <c r="C94" s="161"/>
      <c r="D94" s="31">
        <v>45293</v>
      </c>
      <c r="E94" s="54">
        <f t="shared" si="6"/>
        <v>2978.73</v>
      </c>
      <c r="F94" s="53">
        <f t="shared" si="8"/>
        <v>186.17</v>
      </c>
      <c r="G94" s="45">
        <f t="shared" si="7"/>
        <v>3164.9</v>
      </c>
    </row>
    <row r="95" spans="1:7" x14ac:dyDescent="0.15">
      <c r="A95" s="161" t="s">
        <v>87</v>
      </c>
      <c r="B95" s="161"/>
      <c r="C95" s="161"/>
      <c r="D95" s="31">
        <v>45324</v>
      </c>
      <c r="E95" s="54">
        <f t="shared" si="6"/>
        <v>2978.890000000014</v>
      </c>
      <c r="F95" s="53">
        <f t="shared" si="8"/>
        <v>186.21000000000095</v>
      </c>
      <c r="G95" s="45">
        <f t="shared" si="7"/>
        <v>3165.1000000000149</v>
      </c>
    </row>
    <row r="96" spans="1:7" hidden="1" x14ac:dyDescent="0.15">
      <c r="A96" s="155" t="s">
        <v>88</v>
      </c>
      <c r="B96" s="155"/>
      <c r="C96" s="155"/>
      <c r="D96" s="55">
        <v>44813</v>
      </c>
      <c r="E96" s="54" t="str">
        <f t="shared" si="6"/>
        <v xml:space="preserve"> </v>
      </c>
      <c r="F96" s="53" t="str">
        <f t="shared" si="8"/>
        <v xml:space="preserve"> </v>
      </c>
      <c r="G96" s="45" t="str">
        <f t="shared" si="7"/>
        <v xml:space="preserve"> </v>
      </c>
    </row>
    <row r="97" spans="1:9" hidden="1" x14ac:dyDescent="0.15">
      <c r="A97" s="155" t="s">
        <v>89</v>
      </c>
      <c r="B97" s="155"/>
      <c r="C97" s="155"/>
      <c r="D97" s="55">
        <v>44843</v>
      </c>
      <c r="E97" s="54" t="str">
        <f t="shared" si="6"/>
        <v xml:space="preserve"> </v>
      </c>
      <c r="F97" s="53" t="str">
        <f t="shared" si="8"/>
        <v xml:space="preserve"> </v>
      </c>
      <c r="G97" s="45" t="str">
        <f t="shared" si="7"/>
        <v xml:space="preserve"> </v>
      </c>
    </row>
    <row r="98" spans="1:9" hidden="1" x14ac:dyDescent="0.15">
      <c r="A98" s="155" t="s">
        <v>90</v>
      </c>
      <c r="B98" s="155"/>
      <c r="C98" s="155"/>
      <c r="D98" s="55">
        <v>44874</v>
      </c>
      <c r="E98" s="54" t="str">
        <f t="shared" si="6"/>
        <v xml:space="preserve"> </v>
      </c>
      <c r="F98" s="53" t="str">
        <f t="shared" si="8"/>
        <v xml:space="preserve"> </v>
      </c>
      <c r="G98" s="45" t="str">
        <f t="shared" si="7"/>
        <v xml:space="preserve"> </v>
      </c>
    </row>
    <row r="99" spans="1:9" hidden="1" x14ac:dyDescent="0.15">
      <c r="A99" s="155" t="s">
        <v>91</v>
      </c>
      <c r="B99" s="155"/>
      <c r="C99" s="155"/>
      <c r="D99" s="55">
        <v>44904</v>
      </c>
      <c r="E99" s="54" t="str">
        <f t="shared" si="6"/>
        <v xml:space="preserve"> </v>
      </c>
      <c r="F99" s="53" t="str">
        <f t="shared" si="8"/>
        <v xml:space="preserve"> </v>
      </c>
      <c r="G99" s="45" t="str">
        <f t="shared" si="7"/>
        <v xml:space="preserve"> </v>
      </c>
    </row>
    <row r="100" spans="1:9" hidden="1" x14ac:dyDescent="0.15">
      <c r="A100" s="155" t="s">
        <v>123</v>
      </c>
      <c r="B100" s="155"/>
      <c r="C100" s="155"/>
      <c r="D100" s="55">
        <v>44935</v>
      </c>
      <c r="E100" s="54" t="str">
        <f t="shared" si="6"/>
        <v xml:space="preserve"> </v>
      </c>
      <c r="F100" s="53" t="str">
        <f t="shared" si="8"/>
        <v xml:space="preserve"> </v>
      </c>
      <c r="G100" s="45" t="str">
        <f t="shared" si="7"/>
        <v xml:space="preserve"> </v>
      </c>
    </row>
    <row r="101" spans="1:9" hidden="1" x14ac:dyDescent="0.15">
      <c r="A101" s="155" t="s">
        <v>124</v>
      </c>
      <c r="B101" s="155"/>
      <c r="C101" s="155"/>
      <c r="D101" s="55">
        <v>44966</v>
      </c>
      <c r="E101" s="54" t="str">
        <f t="shared" si="6"/>
        <v xml:space="preserve"> </v>
      </c>
      <c r="F101" s="53" t="str">
        <f t="shared" si="8"/>
        <v xml:space="preserve"> </v>
      </c>
      <c r="G101" s="45" t="str">
        <f t="shared" si="7"/>
        <v xml:space="preserve"> </v>
      </c>
    </row>
    <row r="102" spans="1:9" hidden="1" x14ac:dyDescent="0.15">
      <c r="A102" s="128"/>
      <c r="B102" s="128"/>
      <c r="C102" s="128"/>
      <c r="D102" s="55"/>
      <c r="E102" s="54"/>
      <c r="F102" s="53"/>
      <c r="G102" s="45"/>
    </row>
    <row r="103" spans="1:9" hidden="1" x14ac:dyDescent="0.15">
      <c r="A103" s="128"/>
      <c r="B103" s="128"/>
      <c r="C103" s="128"/>
      <c r="D103" s="55"/>
      <c r="E103" s="54"/>
      <c r="F103" s="53"/>
      <c r="G103" s="45"/>
    </row>
    <row r="104" spans="1:9" hidden="1" x14ac:dyDescent="0.15">
      <c r="A104" s="128"/>
      <c r="B104" s="128"/>
      <c r="C104" s="128"/>
      <c r="D104" s="55"/>
      <c r="E104" s="54"/>
      <c r="F104" s="53"/>
      <c r="G104" s="45"/>
    </row>
    <row r="105" spans="1:9" x14ac:dyDescent="0.15">
      <c r="B105" s="52"/>
      <c r="E105" s="51"/>
      <c r="F105" s="50"/>
      <c r="G105" s="49"/>
    </row>
    <row r="106" spans="1:9" x14ac:dyDescent="0.15">
      <c r="A106" s="48" t="s">
        <v>92</v>
      </c>
    </row>
    <row r="107" spans="1:9" hidden="1" x14ac:dyDescent="0.15">
      <c r="B107" s="41" t="s">
        <v>93</v>
      </c>
      <c r="F107" s="47">
        <f>D90</f>
        <v>45171</v>
      </c>
    </row>
    <row r="108" spans="1:9" x14ac:dyDescent="0.15">
      <c r="B108" s="41" t="s">
        <v>94</v>
      </c>
      <c r="F108" s="47">
        <f>D95+29</f>
        <v>45353</v>
      </c>
      <c r="G108" s="46">
        <f>ROUND(((G24+G25)*((100-A33)/100))+(G29*(100-A33)/100),2)</f>
        <v>1215323.2</v>
      </c>
      <c r="I108" s="45"/>
    </row>
    <row r="109" spans="1:9" hidden="1" x14ac:dyDescent="0.15">
      <c r="B109" s="41" t="s">
        <v>95</v>
      </c>
    </row>
    <row r="110" spans="1:9" ht="12.75" customHeight="1" x14ac:dyDescent="0.15"/>
    <row r="111" spans="1:9" x14ac:dyDescent="0.15">
      <c r="A111" s="44" t="s">
        <v>96</v>
      </c>
      <c r="B111" s="43"/>
      <c r="C111" s="43"/>
      <c r="D111" s="43"/>
    </row>
    <row r="112" spans="1:9" x14ac:dyDescent="0.15">
      <c r="A112" s="154" t="s">
        <v>97</v>
      </c>
      <c r="B112" s="154"/>
      <c r="C112" s="154"/>
      <c r="D112" s="154"/>
      <c r="E112" s="154"/>
      <c r="F112" s="154"/>
      <c r="G112" s="154"/>
    </row>
    <row r="113" spans="1:7" x14ac:dyDescent="0.15">
      <c r="A113" s="43" t="s">
        <v>98</v>
      </c>
      <c r="B113" s="43"/>
      <c r="C113" s="43"/>
      <c r="D113" s="43"/>
    </row>
    <row r="114" spans="1:7" x14ac:dyDescent="0.15">
      <c r="A114" s="43" t="s">
        <v>99</v>
      </c>
      <c r="B114" s="43"/>
      <c r="C114" s="43"/>
      <c r="D114" s="43"/>
    </row>
    <row r="115" spans="1:7" x14ac:dyDescent="0.15">
      <c r="A115" s="43" t="s">
        <v>100</v>
      </c>
      <c r="B115" s="43"/>
      <c r="C115" s="43"/>
      <c r="D115" s="43"/>
    </row>
    <row r="116" spans="1:7" x14ac:dyDescent="0.15">
      <c r="A116" s="127" t="s">
        <v>101</v>
      </c>
      <c r="B116" s="43"/>
      <c r="C116" s="43"/>
      <c r="D116" s="43"/>
    </row>
    <row r="117" spans="1:7" x14ac:dyDescent="0.15">
      <c r="A117" s="127" t="s">
        <v>102</v>
      </c>
      <c r="B117" s="43"/>
      <c r="C117" s="43"/>
      <c r="D117" s="43"/>
    </row>
    <row r="118" spans="1:7" x14ac:dyDescent="0.15">
      <c r="A118" s="127" t="s">
        <v>103</v>
      </c>
      <c r="B118" s="43"/>
      <c r="C118" s="43"/>
      <c r="D118" s="43"/>
    </row>
    <row r="119" spans="1:7" x14ac:dyDescent="0.15">
      <c r="A119" s="127" t="s">
        <v>104</v>
      </c>
      <c r="B119" s="43"/>
      <c r="C119" s="43"/>
      <c r="D119" s="43"/>
    </row>
    <row r="120" spans="1:7" x14ac:dyDescent="0.15">
      <c r="A120" s="127" t="s">
        <v>105</v>
      </c>
      <c r="B120" s="43"/>
      <c r="C120" s="43"/>
      <c r="D120" s="43"/>
    </row>
    <row r="121" spans="1:7" x14ac:dyDescent="0.15">
      <c r="A121" s="154" t="s">
        <v>106</v>
      </c>
      <c r="B121" s="154"/>
      <c r="C121" s="154"/>
      <c r="D121" s="154"/>
      <c r="E121" s="154"/>
      <c r="F121" s="154"/>
      <c r="G121" s="154"/>
    </row>
    <row r="122" spans="1:7" ht="12.75" customHeight="1" x14ac:dyDescent="0.15"/>
    <row r="123" spans="1:7" ht="12.75" customHeight="1" x14ac:dyDescent="0.15"/>
    <row r="124" spans="1:7" x14ac:dyDescent="0.15">
      <c r="A124" s="41" t="s">
        <v>107</v>
      </c>
      <c r="E124" s="41" t="s">
        <v>108</v>
      </c>
    </row>
    <row r="125" spans="1:7" ht="12.75" customHeight="1" x14ac:dyDescent="0.15"/>
    <row r="126" spans="1:7" ht="12.75" customHeight="1" x14ac:dyDescent="0.15"/>
    <row r="127" spans="1:7" x14ac:dyDescent="0.15">
      <c r="A127" s="42"/>
      <c r="B127" s="42"/>
      <c r="C127" s="42"/>
      <c r="E127" s="42"/>
      <c r="F127" s="42"/>
      <c r="G127" s="42"/>
    </row>
    <row r="128" spans="1:7" x14ac:dyDescent="0.15">
      <c r="A128" s="41" t="s">
        <v>109</v>
      </c>
      <c r="E128" s="41" t="s">
        <v>109</v>
      </c>
    </row>
    <row r="129" spans="1:5" x14ac:dyDescent="0.15">
      <c r="A129" s="41" t="s">
        <v>110</v>
      </c>
      <c r="E129" s="41" t="s">
        <v>111</v>
      </c>
    </row>
    <row r="130" spans="1:5" ht="12.75" customHeight="1" x14ac:dyDescent="0.15"/>
    <row r="131" spans="1:5" ht="12.75" customHeight="1" x14ac:dyDescent="0.15"/>
    <row r="132" spans="1:5" x14ac:dyDescent="0.15">
      <c r="A132" s="41" t="s">
        <v>112</v>
      </c>
    </row>
    <row r="133" spans="1:5" ht="12.75" customHeight="1" x14ac:dyDescent="0.15"/>
    <row r="134" spans="1:5" ht="12.75" customHeight="1" x14ac:dyDescent="0.15"/>
    <row r="135" spans="1:5" x14ac:dyDescent="0.15">
      <c r="A135" s="42"/>
      <c r="B135" s="42"/>
      <c r="C135" s="42"/>
    </row>
    <row r="136" spans="1:5" x14ac:dyDescent="0.15">
      <c r="A136" s="41" t="s">
        <v>109</v>
      </c>
    </row>
    <row r="137" spans="1:5" x14ac:dyDescent="0.15">
      <c r="A137" s="41" t="s">
        <v>113</v>
      </c>
    </row>
  </sheetData>
  <mergeCells count="62">
    <mergeCell ref="A112:G112"/>
    <mergeCell ref="A121:G121"/>
    <mergeCell ref="A96:C96"/>
    <mergeCell ref="A97:C97"/>
    <mergeCell ref="A98:C98"/>
    <mergeCell ref="A99:C99"/>
    <mergeCell ref="A100:C100"/>
    <mergeCell ref="A101:C101"/>
    <mergeCell ref="A95:C95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B47:C47"/>
    <mergeCell ref="B1:F1"/>
    <mergeCell ref="B2:F2"/>
    <mergeCell ref="A3:G3"/>
    <mergeCell ref="F6:G6"/>
    <mergeCell ref="F7:G7"/>
  </mergeCells>
  <conditionalFormatting sqref="B11 B25">
    <cfRule type="expression" dxfId="70" priority="1" stopIfTrue="1">
      <formula>G11=0</formula>
    </cfRule>
  </conditionalFormatting>
  <conditionalFormatting sqref="A49:C56">
    <cfRule type="expression" dxfId="69" priority="2" stopIfTrue="1">
      <formula>VALUE(NoDPSchedule)&lt;VALUE(LEFT(A49,1))</formula>
    </cfRule>
  </conditionalFormatting>
  <conditionalFormatting sqref="A57:C104">
    <cfRule type="expression" dxfId="68" priority="3" stopIfTrue="1">
      <formula>VALUE(NoDPSchedule)&lt;VALUE(LEFT(A57,2))</formula>
    </cfRule>
  </conditionalFormatting>
  <conditionalFormatting sqref="G11 G25">
    <cfRule type="expression" dxfId="67" priority="4" stopIfTrue="1">
      <formula>G11=0</formula>
    </cfRule>
  </conditionalFormatting>
  <conditionalFormatting sqref="D4">
    <cfRule type="expression" dxfId="66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53" orientation="portrait" horizontalDpi="429496729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37"/>
  <sheetViews>
    <sheetView workbookViewId="0">
      <selection activeCell="D16" sqref="D16"/>
    </sheetView>
  </sheetViews>
  <sheetFormatPr baseColWidth="10" defaultColWidth="12.33203125" defaultRowHeight="13" x14ac:dyDescent="0.15"/>
  <cols>
    <col min="1" max="5" width="12.33203125" style="41"/>
    <col min="6" max="6" width="39.33203125" style="41" customWidth="1"/>
    <col min="7" max="7" width="18.6640625" style="41" customWidth="1"/>
    <col min="8" max="9" width="13.6640625" style="41" hidden="1" customWidth="1"/>
    <col min="10" max="11" width="13.6640625" style="41" bestFit="1" customWidth="1"/>
    <col min="12" max="16384" width="12.33203125" style="41"/>
  </cols>
  <sheetData>
    <row r="1" spans="1:11" ht="14.25" customHeight="1" x14ac:dyDescent="0.2">
      <c r="A1" s="83"/>
      <c r="B1" s="157" t="s">
        <v>0</v>
      </c>
      <c r="C1" s="157"/>
      <c r="D1" s="157"/>
      <c r="E1" s="157"/>
      <c r="F1" s="157"/>
      <c r="G1" s="82"/>
    </row>
    <row r="2" spans="1:11" ht="14.25" customHeight="1" x14ac:dyDescent="0.15">
      <c r="A2" s="81"/>
      <c r="B2" s="158" t="s">
        <v>1</v>
      </c>
      <c r="C2" s="158"/>
      <c r="D2" s="158"/>
      <c r="E2" s="158"/>
      <c r="F2" s="158"/>
      <c r="G2" s="80"/>
    </row>
    <row r="3" spans="1:11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1" ht="15" customHeight="1" x14ac:dyDescent="0.15">
      <c r="A4" s="79">
        <f>IF(A47&lt;=12,12,A47)</f>
        <v>24</v>
      </c>
      <c r="B4" s="78"/>
      <c r="C4" s="78"/>
      <c r="D4" s="98" t="s">
        <v>115</v>
      </c>
      <c r="E4" s="78"/>
      <c r="F4" s="78"/>
      <c r="G4" s="77"/>
    </row>
    <row r="5" spans="1:11" ht="13.5" customHeight="1" x14ac:dyDescent="0.15">
      <c r="G5" s="76">
        <v>24</v>
      </c>
    </row>
    <row r="6" spans="1:11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</row>
    <row r="7" spans="1:11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</row>
    <row r="8" spans="1:11" ht="12.75" customHeight="1" x14ac:dyDescent="0.15"/>
    <row r="9" spans="1:11" ht="12.75" customHeight="1" x14ac:dyDescent="0.15"/>
    <row r="10" spans="1:11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  <c r="I10" s="95">
        <f>G10/1.12</f>
        <v>1339999.9999999998</v>
      </c>
      <c r="J10" s="95"/>
      <c r="K10" s="95"/>
    </row>
    <row r="11" spans="1:1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160800</v>
      </c>
      <c r="H11" s="95">
        <f>G10-G11</f>
        <v>1340000</v>
      </c>
      <c r="K11" s="95"/>
    </row>
    <row r="12" spans="1:11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13400</v>
      </c>
      <c r="I12" s="45"/>
      <c r="J12" s="45"/>
    </row>
    <row r="13" spans="1:11" hidden="1" x14ac:dyDescent="0.15">
      <c r="B13" s="41" t="s">
        <v>14</v>
      </c>
      <c r="D13" s="38"/>
      <c r="G13" s="45"/>
      <c r="I13" s="45"/>
      <c r="J13" s="45"/>
    </row>
    <row r="14" spans="1:11" hidden="1" x14ac:dyDescent="0.15">
      <c r="B14" s="41" t="s">
        <v>15</v>
      </c>
      <c r="G14" s="45">
        <v>0</v>
      </c>
      <c r="I14" s="45"/>
      <c r="J14" s="45"/>
    </row>
    <row r="15" spans="1:11" hidden="1" x14ac:dyDescent="0.15">
      <c r="B15" s="41" t="s">
        <v>16</v>
      </c>
      <c r="G15" s="45">
        <v>0</v>
      </c>
      <c r="I15" s="45"/>
    </row>
    <row r="16" spans="1:11" ht="14" x14ac:dyDescent="0.2">
      <c r="B16" s="41" t="s">
        <v>18</v>
      </c>
      <c r="D16" s="38" t="s">
        <v>120</v>
      </c>
      <c r="E16"/>
      <c r="F16"/>
      <c r="G16" s="45">
        <f>25000*5</f>
        <v>125000</v>
      </c>
      <c r="H16" s="45">
        <f>SUM(G11:G16)</f>
        <v>299200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hidden="1" x14ac:dyDescent="0.15">
      <c r="B20" s="41" t="s">
        <v>22</v>
      </c>
      <c r="G20" s="45">
        <v>0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x14ac:dyDescent="0.15">
      <c r="F23" s="72"/>
      <c r="G23" s="71"/>
      <c r="H23" s="95">
        <f>G10-H16</f>
        <v>1201600</v>
      </c>
      <c r="J23" s="45"/>
    </row>
    <row r="24" spans="1:10" ht="13.5" customHeight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(G10-G11)-SUM(G12:G22)</f>
        <v>1201600</v>
      </c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144192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84112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x14ac:dyDescent="0.15">
      <c r="A29" s="62"/>
      <c r="B29" s="41" t="s">
        <v>27</v>
      </c>
      <c r="G29" s="45">
        <f>ROUND(SUM(G26,G28,F27),2)</f>
        <v>84112</v>
      </c>
    </row>
    <row r="30" spans="1:10" ht="13.5" customHeight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1429904</v>
      </c>
    </row>
    <row r="31" spans="1:10" ht="12.75" customHeight="1" x14ac:dyDescent="0.15"/>
    <row r="32" spans="1:10" x14ac:dyDescent="0.15">
      <c r="A32" s="48" t="s">
        <v>31</v>
      </c>
    </row>
    <row r="33" spans="1:10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269158.40000000002</v>
      </c>
    </row>
    <row r="34" spans="1:10" ht="13.5" customHeight="1" x14ac:dyDescent="0.15">
      <c r="A34" s="48"/>
      <c r="B34" s="41" t="s">
        <v>32</v>
      </c>
      <c r="G34" s="45">
        <f>ROUND(G29*(A33/100),2)</f>
        <v>16822.400000000001</v>
      </c>
    </row>
    <row r="35" spans="1:10" ht="13.5" customHeight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285980.80000000005</v>
      </c>
    </row>
    <row r="36" spans="1:10" ht="13.5" customHeight="1" x14ac:dyDescent="0.15">
      <c r="A36" s="41" t="s">
        <v>12</v>
      </c>
      <c r="B36" s="41" t="s">
        <v>34</v>
      </c>
      <c r="F36" s="50">
        <f ca="1">NOW()</f>
        <v>44075.451322222223</v>
      </c>
      <c r="G36" s="45">
        <v>20000</v>
      </c>
    </row>
    <row r="37" spans="1:10" ht="13.5" customHeight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265980.80000000005</v>
      </c>
    </row>
    <row r="38" spans="1:10" ht="12.75" customHeight="1" x14ac:dyDescent="0.15"/>
    <row r="39" spans="1:10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114579.2</v>
      </c>
      <c r="H39" s="45"/>
      <c r="I39" s="45"/>
      <c r="J39" s="63"/>
    </row>
    <row r="40" spans="1:10" ht="13.5" customHeight="1" x14ac:dyDescent="0.15">
      <c r="B40" s="41" t="s">
        <v>27</v>
      </c>
      <c r="E40" s="51"/>
      <c r="F40" s="50"/>
      <c r="G40" s="45">
        <f>ROUND(G29*(A39/100),2)</f>
        <v>8411.2000000000007</v>
      </c>
      <c r="J40" s="45"/>
    </row>
    <row r="41" spans="1:10" ht="13.5" customHeight="1" x14ac:dyDescent="0.15">
      <c r="B41" s="44" t="s">
        <v>122</v>
      </c>
      <c r="E41" s="51"/>
      <c r="F41" s="106">
        <f ca="1">F36+60</f>
        <v>44135.451322222223</v>
      </c>
      <c r="G41" s="61">
        <f>SUM(G39:G40)</f>
        <v>122990.39999999999</v>
      </c>
    </row>
    <row r="42" spans="1:10" x14ac:dyDescent="0.15">
      <c r="B42" s="52"/>
      <c r="E42" s="51"/>
      <c r="F42" s="50"/>
      <c r="G42" s="49"/>
    </row>
    <row r="43" spans="1:10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134579.20000000001</v>
      </c>
    </row>
    <row r="44" spans="1:10" ht="13.5" customHeight="1" x14ac:dyDescent="0.15">
      <c r="B44" s="60" t="s">
        <v>27</v>
      </c>
      <c r="E44" s="51"/>
      <c r="F44" s="50"/>
      <c r="G44" s="45">
        <f>SUM(G34:G34)-G40</f>
        <v>8411.2000000000007</v>
      </c>
    </row>
    <row r="45" spans="1:10" ht="13.5" customHeight="1" x14ac:dyDescent="0.15">
      <c r="B45" s="44" t="str">
        <f>CONCATENATE("Total Streched DP and Other Charges payable in " &amp; A47 &amp; " months")</f>
        <v>Total Streched DP and Other Charges payable in 24 months</v>
      </c>
      <c r="E45" s="51"/>
      <c r="F45" s="50"/>
      <c r="G45" s="61">
        <f>SUM(G43:G44)</f>
        <v>142990.40000000002</v>
      </c>
    </row>
    <row r="46" spans="1:10" x14ac:dyDescent="0.15">
      <c r="B46" s="60"/>
      <c r="E46" s="51"/>
      <c r="F46" s="50"/>
      <c r="G46" s="49"/>
    </row>
    <row r="47" spans="1:10" ht="25.5" customHeight="1" x14ac:dyDescent="0.15">
      <c r="A47" s="59">
        <v>24</v>
      </c>
      <c r="B47" s="156" t="s">
        <v>36</v>
      </c>
      <c r="C47" s="156"/>
      <c r="D47" s="129" t="s">
        <v>37</v>
      </c>
      <c r="E47" s="58" t="s">
        <v>38</v>
      </c>
      <c r="F47" s="57" t="s">
        <v>27</v>
      </c>
      <c r="G47" s="56" t="s">
        <v>39</v>
      </c>
    </row>
    <row r="48" spans="1:10" x14ac:dyDescent="0.15">
      <c r="A48" s="155" t="s">
        <v>40</v>
      </c>
      <c r="B48" s="155"/>
      <c r="C48" s="155"/>
      <c r="D48" s="31">
        <v>44045</v>
      </c>
      <c r="E48" s="54">
        <f>ROUND(G43/A47,2)</f>
        <v>5607.47</v>
      </c>
      <c r="F48" s="53">
        <f>ROUND(G44/A47,2)</f>
        <v>350.47</v>
      </c>
      <c r="G48" s="45">
        <f>SUM(E48:F48)</f>
        <v>5957.9400000000005</v>
      </c>
    </row>
    <row r="49" spans="1:7" x14ac:dyDescent="0.15">
      <c r="A49" s="155" t="s">
        <v>41</v>
      </c>
      <c r="B49" s="155"/>
      <c r="C49" s="155"/>
      <c r="D49" s="31">
        <v>44076</v>
      </c>
      <c r="E49" s="54">
        <f t="shared" ref="E49:E56" si="0">IF($A$47&lt;VALUE(LEFT(A49,1))," ",IF($A$47=VALUE(LEFT(A49,1)),$G$43-($E$48*($A$47-1)),E48))</f>
        <v>5607.47</v>
      </c>
      <c r="F49" s="53">
        <f t="shared" ref="F49:F56" si="1">IF($A$47&lt;VALUE(LEFT(A49,1))," ",IF($A$47=VALUE(LEFT(A49,1)),$G$44-($F$48*($A$47-1)),F48))</f>
        <v>350.47</v>
      </c>
      <c r="G49" s="45">
        <f t="shared" ref="G49:G56" si="2">IF($A$47&lt;VALUE(LEFT(A49,1))," ",SUM(E49:F49))</f>
        <v>5957.9400000000005</v>
      </c>
    </row>
    <row r="50" spans="1:7" x14ac:dyDescent="0.15">
      <c r="A50" s="155" t="s">
        <v>42</v>
      </c>
      <c r="B50" s="155"/>
      <c r="C50" s="155"/>
      <c r="D50" s="31">
        <v>44106</v>
      </c>
      <c r="E50" s="54">
        <f t="shared" si="0"/>
        <v>5607.47</v>
      </c>
      <c r="F50" s="53">
        <f t="shared" si="1"/>
        <v>350.47</v>
      </c>
      <c r="G50" s="45">
        <f t="shared" si="2"/>
        <v>5957.9400000000005</v>
      </c>
    </row>
    <row r="51" spans="1:7" x14ac:dyDescent="0.15">
      <c r="A51" s="155" t="s">
        <v>43</v>
      </c>
      <c r="B51" s="155"/>
      <c r="C51" s="155"/>
      <c r="D51" s="31">
        <v>44137</v>
      </c>
      <c r="E51" s="54">
        <f t="shared" si="0"/>
        <v>5607.47</v>
      </c>
      <c r="F51" s="53">
        <f t="shared" si="1"/>
        <v>350.47</v>
      </c>
      <c r="G51" s="45">
        <f t="shared" si="2"/>
        <v>5957.9400000000005</v>
      </c>
    </row>
    <row r="52" spans="1:7" x14ac:dyDescent="0.15">
      <c r="A52" s="155" t="s">
        <v>44</v>
      </c>
      <c r="B52" s="155"/>
      <c r="C52" s="155"/>
      <c r="D52" s="31">
        <v>44167</v>
      </c>
      <c r="E52" s="54">
        <f t="shared" si="0"/>
        <v>5607.47</v>
      </c>
      <c r="F52" s="53">
        <f t="shared" si="1"/>
        <v>350.47</v>
      </c>
      <c r="G52" s="45">
        <f t="shared" si="2"/>
        <v>5957.9400000000005</v>
      </c>
    </row>
    <row r="53" spans="1:7" x14ac:dyDescent="0.15">
      <c r="A53" s="155" t="s">
        <v>45</v>
      </c>
      <c r="B53" s="155"/>
      <c r="C53" s="155"/>
      <c r="D53" s="31">
        <v>44198</v>
      </c>
      <c r="E53" s="54">
        <f t="shared" si="0"/>
        <v>5607.47</v>
      </c>
      <c r="F53" s="53">
        <f t="shared" si="1"/>
        <v>350.47</v>
      </c>
      <c r="G53" s="45">
        <f t="shared" si="2"/>
        <v>5957.9400000000005</v>
      </c>
    </row>
    <row r="54" spans="1:7" x14ac:dyDescent="0.15">
      <c r="A54" s="155" t="s">
        <v>46</v>
      </c>
      <c r="B54" s="155"/>
      <c r="C54" s="155"/>
      <c r="D54" s="31">
        <v>44229</v>
      </c>
      <c r="E54" s="54">
        <f t="shared" si="0"/>
        <v>5607.47</v>
      </c>
      <c r="F54" s="53">
        <f t="shared" si="1"/>
        <v>350.47</v>
      </c>
      <c r="G54" s="45">
        <f t="shared" si="2"/>
        <v>5957.9400000000005</v>
      </c>
    </row>
    <row r="55" spans="1:7" x14ac:dyDescent="0.15">
      <c r="A55" s="155" t="s">
        <v>47</v>
      </c>
      <c r="B55" s="155"/>
      <c r="C55" s="155"/>
      <c r="D55" s="31">
        <v>44257</v>
      </c>
      <c r="E55" s="54">
        <f t="shared" si="0"/>
        <v>5607.47</v>
      </c>
      <c r="F55" s="53">
        <f t="shared" si="1"/>
        <v>350.47</v>
      </c>
      <c r="G55" s="45">
        <f t="shared" si="2"/>
        <v>5957.9400000000005</v>
      </c>
    </row>
    <row r="56" spans="1:7" x14ac:dyDescent="0.15">
      <c r="A56" s="155" t="s">
        <v>48</v>
      </c>
      <c r="B56" s="155"/>
      <c r="C56" s="155"/>
      <c r="D56" s="31">
        <v>44288</v>
      </c>
      <c r="E56" s="54">
        <f t="shared" si="0"/>
        <v>5607.47</v>
      </c>
      <c r="F56" s="53">
        <f t="shared" si="1"/>
        <v>350.47</v>
      </c>
      <c r="G56" s="45">
        <f t="shared" si="2"/>
        <v>5957.9400000000005</v>
      </c>
    </row>
    <row r="57" spans="1:7" x14ac:dyDescent="0.15">
      <c r="A57" s="155" t="s">
        <v>49</v>
      </c>
      <c r="B57" s="155"/>
      <c r="C57" s="155"/>
      <c r="D57" s="31">
        <v>44318</v>
      </c>
      <c r="E57" s="54">
        <f t="shared" ref="E57:E81" si="3">IF($A$47&lt;VALUE(LEFT(A57,2))," ",IF($A$47=VALUE(LEFT(A57,2)),$G$43-($E$48*($A$47-1)),E56))</f>
        <v>5607.47</v>
      </c>
      <c r="F57" s="53">
        <f t="shared" ref="F57:F81" si="4">IF($A$47&lt;VALUE(LEFT(A57,2))," ",IF($A$47=VALUE(LEFT(A57,2)),$G$44-($F$48*($A$47-1)),F56))</f>
        <v>350.47</v>
      </c>
      <c r="G57" s="45">
        <f t="shared" ref="G57:G81" si="5">IF($A$47&lt;VALUE(LEFT(A57,2))," ",SUM(E57:F57))</f>
        <v>5957.9400000000005</v>
      </c>
    </row>
    <row r="58" spans="1:7" x14ac:dyDescent="0.15">
      <c r="A58" s="155" t="s">
        <v>50</v>
      </c>
      <c r="B58" s="155"/>
      <c r="C58" s="155"/>
      <c r="D58" s="31">
        <v>44349</v>
      </c>
      <c r="E58" s="54">
        <f t="shared" si="3"/>
        <v>5607.47</v>
      </c>
      <c r="F58" s="53">
        <f t="shared" si="4"/>
        <v>350.47</v>
      </c>
      <c r="G58" s="45">
        <f t="shared" si="5"/>
        <v>5957.9400000000005</v>
      </c>
    </row>
    <row r="59" spans="1:7" x14ac:dyDescent="0.15">
      <c r="A59" s="155" t="s">
        <v>51</v>
      </c>
      <c r="B59" s="155"/>
      <c r="C59" s="155"/>
      <c r="D59" s="31">
        <v>44379</v>
      </c>
      <c r="E59" s="54">
        <f t="shared" si="3"/>
        <v>5607.47</v>
      </c>
      <c r="F59" s="53">
        <f t="shared" si="4"/>
        <v>350.47</v>
      </c>
      <c r="G59" s="45">
        <f t="shared" si="5"/>
        <v>5957.9400000000005</v>
      </c>
    </row>
    <row r="60" spans="1:7" x14ac:dyDescent="0.15">
      <c r="A60" s="155" t="s">
        <v>52</v>
      </c>
      <c r="B60" s="155"/>
      <c r="C60" s="155"/>
      <c r="D60" s="31">
        <v>44410</v>
      </c>
      <c r="E60" s="54">
        <f t="shared" si="3"/>
        <v>5607.47</v>
      </c>
      <c r="F60" s="53">
        <f t="shared" si="4"/>
        <v>350.47</v>
      </c>
      <c r="G60" s="45">
        <f t="shared" si="5"/>
        <v>5957.9400000000005</v>
      </c>
    </row>
    <row r="61" spans="1:7" x14ac:dyDescent="0.15">
      <c r="A61" s="155" t="s">
        <v>53</v>
      </c>
      <c r="B61" s="155"/>
      <c r="C61" s="155"/>
      <c r="D61" s="31">
        <v>44441</v>
      </c>
      <c r="E61" s="54">
        <f t="shared" si="3"/>
        <v>5607.47</v>
      </c>
      <c r="F61" s="53">
        <f t="shared" si="4"/>
        <v>350.47</v>
      </c>
      <c r="G61" s="45">
        <f t="shared" si="5"/>
        <v>5957.9400000000005</v>
      </c>
    </row>
    <row r="62" spans="1:7" x14ac:dyDescent="0.15">
      <c r="A62" s="155" t="s">
        <v>54</v>
      </c>
      <c r="B62" s="155"/>
      <c r="C62" s="155"/>
      <c r="D62" s="31">
        <v>44471</v>
      </c>
      <c r="E62" s="54">
        <f t="shared" si="3"/>
        <v>5607.47</v>
      </c>
      <c r="F62" s="53">
        <f t="shared" si="4"/>
        <v>350.47</v>
      </c>
      <c r="G62" s="45">
        <f t="shared" si="5"/>
        <v>5957.9400000000005</v>
      </c>
    </row>
    <row r="63" spans="1:7" x14ac:dyDescent="0.15">
      <c r="A63" s="155" t="s">
        <v>55</v>
      </c>
      <c r="B63" s="155"/>
      <c r="C63" s="155"/>
      <c r="D63" s="31">
        <v>44502</v>
      </c>
      <c r="E63" s="54">
        <f t="shared" si="3"/>
        <v>5607.47</v>
      </c>
      <c r="F63" s="53">
        <f t="shared" si="4"/>
        <v>350.47</v>
      </c>
      <c r="G63" s="45">
        <f t="shared" si="5"/>
        <v>5957.9400000000005</v>
      </c>
    </row>
    <row r="64" spans="1:7" x14ac:dyDescent="0.15">
      <c r="A64" s="155" t="s">
        <v>56</v>
      </c>
      <c r="B64" s="155"/>
      <c r="C64" s="155"/>
      <c r="D64" s="31">
        <v>44532</v>
      </c>
      <c r="E64" s="54">
        <f t="shared" si="3"/>
        <v>5607.47</v>
      </c>
      <c r="F64" s="53">
        <f t="shared" si="4"/>
        <v>350.47</v>
      </c>
      <c r="G64" s="45">
        <f t="shared" si="5"/>
        <v>5957.9400000000005</v>
      </c>
    </row>
    <row r="65" spans="1:7" x14ac:dyDescent="0.15">
      <c r="A65" s="155" t="s">
        <v>57</v>
      </c>
      <c r="B65" s="155"/>
      <c r="C65" s="155"/>
      <c r="D65" s="31">
        <v>44563</v>
      </c>
      <c r="E65" s="54">
        <f t="shared" si="3"/>
        <v>5607.47</v>
      </c>
      <c r="F65" s="53">
        <f t="shared" si="4"/>
        <v>350.47</v>
      </c>
      <c r="G65" s="45">
        <f t="shared" si="5"/>
        <v>5957.9400000000005</v>
      </c>
    </row>
    <row r="66" spans="1:7" x14ac:dyDescent="0.15">
      <c r="A66" s="155" t="s">
        <v>58</v>
      </c>
      <c r="B66" s="155"/>
      <c r="C66" s="155"/>
      <c r="D66" s="31">
        <v>44594</v>
      </c>
      <c r="E66" s="54">
        <f t="shared" si="3"/>
        <v>5607.47</v>
      </c>
      <c r="F66" s="53">
        <f t="shared" si="4"/>
        <v>350.47</v>
      </c>
      <c r="G66" s="45">
        <f t="shared" si="5"/>
        <v>5957.9400000000005</v>
      </c>
    </row>
    <row r="67" spans="1:7" x14ac:dyDescent="0.15">
      <c r="A67" s="155" t="s">
        <v>59</v>
      </c>
      <c r="B67" s="155"/>
      <c r="C67" s="155"/>
      <c r="D67" s="31">
        <v>44622</v>
      </c>
      <c r="E67" s="54">
        <f t="shared" si="3"/>
        <v>5607.47</v>
      </c>
      <c r="F67" s="53">
        <f t="shared" si="4"/>
        <v>350.47</v>
      </c>
      <c r="G67" s="45">
        <f t="shared" si="5"/>
        <v>5957.9400000000005</v>
      </c>
    </row>
    <row r="68" spans="1:7" x14ac:dyDescent="0.15">
      <c r="A68" s="155" t="s">
        <v>60</v>
      </c>
      <c r="B68" s="155"/>
      <c r="C68" s="155"/>
      <c r="D68" s="31">
        <v>44653</v>
      </c>
      <c r="E68" s="54">
        <f t="shared" si="3"/>
        <v>5607.47</v>
      </c>
      <c r="F68" s="53">
        <f t="shared" si="4"/>
        <v>350.47</v>
      </c>
      <c r="G68" s="45">
        <f t="shared" si="5"/>
        <v>5957.9400000000005</v>
      </c>
    </row>
    <row r="69" spans="1:7" x14ac:dyDescent="0.15">
      <c r="A69" s="155" t="s">
        <v>61</v>
      </c>
      <c r="B69" s="155"/>
      <c r="C69" s="155"/>
      <c r="D69" s="31">
        <v>44683</v>
      </c>
      <c r="E69" s="54">
        <f t="shared" si="3"/>
        <v>5607.47</v>
      </c>
      <c r="F69" s="53">
        <f t="shared" si="4"/>
        <v>350.47</v>
      </c>
      <c r="G69" s="45">
        <f t="shared" si="5"/>
        <v>5957.9400000000005</v>
      </c>
    </row>
    <row r="70" spans="1:7" x14ac:dyDescent="0.15">
      <c r="A70" s="155" t="s">
        <v>62</v>
      </c>
      <c r="B70" s="155"/>
      <c r="C70" s="155"/>
      <c r="D70" s="31">
        <v>44714</v>
      </c>
      <c r="E70" s="54">
        <f t="shared" si="3"/>
        <v>5607.47</v>
      </c>
      <c r="F70" s="53">
        <f t="shared" si="4"/>
        <v>350.47</v>
      </c>
      <c r="G70" s="45">
        <f t="shared" si="5"/>
        <v>5957.9400000000005</v>
      </c>
    </row>
    <row r="71" spans="1:7" x14ac:dyDescent="0.15">
      <c r="A71" s="155" t="s">
        <v>63</v>
      </c>
      <c r="B71" s="155"/>
      <c r="C71" s="155"/>
      <c r="D71" s="31">
        <v>44744</v>
      </c>
      <c r="E71" s="54">
        <f t="shared" si="3"/>
        <v>5607.3899999999994</v>
      </c>
      <c r="F71" s="53">
        <f t="shared" si="4"/>
        <v>350.39000000000033</v>
      </c>
      <c r="G71" s="45">
        <f t="shared" si="5"/>
        <v>5957.78</v>
      </c>
    </row>
    <row r="72" spans="1:7" hidden="1" x14ac:dyDescent="0.15">
      <c r="A72" s="155" t="s">
        <v>64</v>
      </c>
      <c r="B72" s="155"/>
      <c r="C72" s="155"/>
      <c r="D72" s="31">
        <v>44517</v>
      </c>
      <c r="E72" s="54" t="str">
        <f t="shared" si="3"/>
        <v xml:space="preserve"> </v>
      </c>
      <c r="F72" s="53" t="str">
        <f t="shared" si="4"/>
        <v xml:space="preserve"> </v>
      </c>
      <c r="G72" s="45" t="str">
        <f t="shared" si="5"/>
        <v xml:space="preserve"> </v>
      </c>
    </row>
    <row r="73" spans="1:7" hidden="1" x14ac:dyDescent="0.15">
      <c r="A73" s="155" t="s">
        <v>65</v>
      </c>
      <c r="B73" s="155"/>
      <c r="C73" s="155"/>
      <c r="D73" s="31">
        <v>44547</v>
      </c>
      <c r="E73" s="54" t="str">
        <f t="shared" si="3"/>
        <v xml:space="preserve"> </v>
      </c>
      <c r="F73" s="53" t="str">
        <f t="shared" si="4"/>
        <v xml:space="preserve"> </v>
      </c>
      <c r="G73" s="45" t="str">
        <f t="shared" si="5"/>
        <v xml:space="preserve"> </v>
      </c>
    </row>
    <row r="74" spans="1:7" hidden="1" x14ac:dyDescent="0.15">
      <c r="A74" s="155" t="s">
        <v>66</v>
      </c>
      <c r="B74" s="155"/>
      <c r="C74" s="155"/>
      <c r="D74" s="31">
        <v>44578</v>
      </c>
      <c r="E74" s="54" t="str">
        <f t="shared" si="3"/>
        <v xml:space="preserve"> </v>
      </c>
      <c r="F74" s="53" t="str">
        <f t="shared" si="4"/>
        <v xml:space="preserve"> </v>
      </c>
      <c r="G74" s="45" t="str">
        <f t="shared" si="5"/>
        <v xml:space="preserve"> </v>
      </c>
    </row>
    <row r="75" spans="1:7" hidden="1" x14ac:dyDescent="0.15">
      <c r="A75" s="155" t="s">
        <v>67</v>
      </c>
      <c r="B75" s="155"/>
      <c r="C75" s="155"/>
      <c r="D75" s="31">
        <v>44609</v>
      </c>
      <c r="E75" s="54" t="str">
        <f t="shared" si="3"/>
        <v xml:space="preserve"> </v>
      </c>
      <c r="F75" s="53" t="str">
        <f t="shared" si="4"/>
        <v xml:space="preserve"> </v>
      </c>
      <c r="G75" s="45" t="str">
        <f t="shared" si="5"/>
        <v xml:space="preserve"> </v>
      </c>
    </row>
    <row r="76" spans="1:7" hidden="1" x14ac:dyDescent="0.15">
      <c r="A76" s="155" t="s">
        <v>68</v>
      </c>
      <c r="B76" s="155"/>
      <c r="C76" s="155"/>
      <c r="D76" s="31">
        <v>44637</v>
      </c>
      <c r="E76" s="54" t="str">
        <f t="shared" si="3"/>
        <v xml:space="preserve"> </v>
      </c>
      <c r="F76" s="53" t="str">
        <f t="shared" si="4"/>
        <v xml:space="preserve"> </v>
      </c>
      <c r="G76" s="45" t="str">
        <f t="shared" si="5"/>
        <v xml:space="preserve"> </v>
      </c>
    </row>
    <row r="77" spans="1:7" hidden="1" x14ac:dyDescent="0.15">
      <c r="A77" s="155" t="s">
        <v>69</v>
      </c>
      <c r="B77" s="155"/>
      <c r="C77" s="155"/>
      <c r="D77" s="31">
        <v>44668</v>
      </c>
      <c r="E77" s="54" t="str">
        <f t="shared" si="3"/>
        <v xml:space="preserve"> </v>
      </c>
      <c r="F77" s="53" t="str">
        <f t="shared" si="4"/>
        <v xml:space="preserve"> </v>
      </c>
      <c r="G77" s="45" t="str">
        <f t="shared" si="5"/>
        <v xml:space="preserve"> </v>
      </c>
    </row>
    <row r="78" spans="1:7" hidden="1" x14ac:dyDescent="0.15">
      <c r="A78" s="155" t="s">
        <v>70</v>
      </c>
      <c r="B78" s="155"/>
      <c r="C78" s="155"/>
      <c r="D78" s="31">
        <v>44698</v>
      </c>
      <c r="E78" s="54" t="str">
        <f t="shared" si="3"/>
        <v xml:space="preserve"> </v>
      </c>
      <c r="F78" s="53" t="str">
        <f t="shared" si="4"/>
        <v xml:space="preserve"> </v>
      </c>
      <c r="G78" s="45" t="str">
        <f t="shared" si="5"/>
        <v xml:space="preserve"> </v>
      </c>
    </row>
    <row r="79" spans="1:7" hidden="1" x14ac:dyDescent="0.15">
      <c r="A79" s="155" t="s">
        <v>71</v>
      </c>
      <c r="B79" s="155"/>
      <c r="C79" s="155"/>
      <c r="D79" s="31">
        <v>44729</v>
      </c>
      <c r="E79" s="54" t="str">
        <f t="shared" si="3"/>
        <v xml:space="preserve"> </v>
      </c>
      <c r="F79" s="53" t="str">
        <f t="shared" si="4"/>
        <v xml:space="preserve"> </v>
      </c>
      <c r="G79" s="45" t="str">
        <f t="shared" si="5"/>
        <v xml:space="preserve"> </v>
      </c>
    </row>
    <row r="80" spans="1:7" hidden="1" x14ac:dyDescent="0.15">
      <c r="A80" s="155" t="s">
        <v>72</v>
      </c>
      <c r="B80" s="155"/>
      <c r="C80" s="155"/>
      <c r="D80" s="31">
        <v>44759</v>
      </c>
      <c r="E80" s="54" t="str">
        <f t="shared" si="3"/>
        <v xml:space="preserve"> </v>
      </c>
      <c r="F80" s="53" t="str">
        <f t="shared" si="4"/>
        <v xml:space="preserve"> </v>
      </c>
      <c r="G80" s="45" t="str">
        <f t="shared" si="5"/>
        <v xml:space="preserve"> </v>
      </c>
    </row>
    <row r="81" spans="1:7" hidden="1" x14ac:dyDescent="0.15">
      <c r="A81" s="155" t="s">
        <v>73</v>
      </c>
      <c r="B81" s="155"/>
      <c r="C81" s="155"/>
      <c r="D81" s="31">
        <v>44790</v>
      </c>
      <c r="E81" s="54" t="str">
        <f t="shared" si="3"/>
        <v xml:space="preserve"> </v>
      </c>
      <c r="F81" s="53" t="str">
        <f t="shared" si="4"/>
        <v xml:space="preserve"> </v>
      </c>
      <c r="G81" s="45" t="str">
        <f t="shared" si="5"/>
        <v xml:space="preserve"> </v>
      </c>
    </row>
    <row r="82" spans="1:7" hidden="1" x14ac:dyDescent="0.15">
      <c r="A82" s="155" t="s">
        <v>74</v>
      </c>
      <c r="B82" s="155"/>
      <c r="C82" s="155"/>
      <c r="D82" s="31">
        <v>44821</v>
      </c>
      <c r="E82" s="54" t="str">
        <f>IF($A$47&lt;VALUE(LEFT(A82,2))," ",IF($A$47=VALUE(LEFT(A82,2)),$G$43-($E$48*($A$47-1)),E81))</f>
        <v xml:space="preserve"> </v>
      </c>
      <c r="F82" s="53" t="str">
        <f>IF($A$47&lt;VALUE(LEFT(A82,2))," ",IF($A$47=VALUE(LEFT(A82,2)),$G$44-($F$48*($A$47-1)),F81))</f>
        <v xml:space="preserve"> </v>
      </c>
      <c r="G82" s="45" t="str">
        <f>IF($A$47&lt;VALUE(LEFT(A82,2))," ",SUM(E82:F82))</f>
        <v xml:space="preserve"> </v>
      </c>
    </row>
    <row r="83" spans="1:7" hidden="1" x14ac:dyDescent="0.15">
      <c r="A83" s="155" t="s">
        <v>75</v>
      </c>
      <c r="B83" s="155"/>
      <c r="C83" s="155"/>
      <c r="D83" s="31">
        <v>44851</v>
      </c>
      <c r="E83" s="54" t="str">
        <f>IF($A$47&lt;VALUE(LEFT(A83,2))," ",IF($A$47=VALUE(LEFT(A83,2)),$G$43-($E$48*($A$47-1)),E82))</f>
        <v xml:space="preserve"> </v>
      </c>
      <c r="F83" s="53" t="str">
        <f>IF($A$47&lt;VALUE(LEFT(A83,2))," ",IF($A$47=VALUE(LEFT(A83,2)),$G$44-($F$48*($A$47-1)),F82))</f>
        <v xml:space="preserve"> </v>
      </c>
      <c r="G83" s="45" t="str">
        <f>IF($A$47&lt;VALUE(LEFT(A83,2))," ",SUM(E83:F83))</f>
        <v xml:space="preserve"> </v>
      </c>
    </row>
    <row r="84" spans="1:7" hidden="1" x14ac:dyDescent="0.15">
      <c r="A84" s="155" t="s">
        <v>76</v>
      </c>
      <c r="B84" s="155"/>
      <c r="C84" s="155"/>
      <c r="D84" s="31">
        <v>44882</v>
      </c>
      <c r="E84" s="54" t="str">
        <f t="shared" ref="E84:E101" si="6">IF($A$47&lt;VALUE(LEFT(A84,2))," ",IF($A$47=VALUE(LEFT(A84,2)),$G$43-($E$48*($A$47-1)),E83))</f>
        <v xml:space="preserve"> </v>
      </c>
      <c r="F84" s="53" t="str">
        <f t="shared" ref="F84:F101" si="7">IF($A$47&lt;VALUE(LEFT(A84,2))," ",IF($A$47=VALUE(LEFT(A84,2)),$G$44-($F$48*($A$47-1)),F83))</f>
        <v xml:space="preserve"> </v>
      </c>
      <c r="G84" s="45" t="str">
        <f t="shared" ref="G84:G101" si="8">IF($A$47&lt;VALUE(LEFT(A84,2))," ",SUM(E84:F84))</f>
        <v xml:space="preserve"> </v>
      </c>
    </row>
    <row r="85" spans="1:7" hidden="1" x14ac:dyDescent="0.15">
      <c r="A85" s="155" t="s">
        <v>77</v>
      </c>
      <c r="B85" s="155"/>
      <c r="C85" s="155"/>
      <c r="D85" s="31">
        <v>44912</v>
      </c>
      <c r="E85" s="54" t="str">
        <f t="shared" si="6"/>
        <v xml:space="preserve"> </v>
      </c>
      <c r="F85" s="53" t="str">
        <f t="shared" si="7"/>
        <v xml:space="preserve"> </v>
      </c>
      <c r="G85" s="45" t="str">
        <f t="shared" si="8"/>
        <v xml:space="preserve"> </v>
      </c>
    </row>
    <row r="86" spans="1:7" hidden="1" x14ac:dyDescent="0.15">
      <c r="A86" s="155" t="s">
        <v>78</v>
      </c>
      <c r="B86" s="155"/>
      <c r="C86" s="155"/>
      <c r="D86" s="31">
        <v>44943</v>
      </c>
      <c r="E86" s="54" t="str">
        <f t="shared" si="6"/>
        <v xml:space="preserve"> </v>
      </c>
      <c r="F86" s="53" t="str">
        <f t="shared" si="7"/>
        <v xml:space="preserve"> </v>
      </c>
      <c r="G86" s="45" t="str">
        <f t="shared" si="8"/>
        <v xml:space="preserve"> </v>
      </c>
    </row>
    <row r="87" spans="1:7" hidden="1" x14ac:dyDescent="0.15">
      <c r="A87" s="155" t="s">
        <v>79</v>
      </c>
      <c r="B87" s="155"/>
      <c r="C87" s="155"/>
      <c r="D87" s="31">
        <v>44974</v>
      </c>
      <c r="E87" s="54" t="str">
        <f t="shared" si="6"/>
        <v xml:space="preserve"> </v>
      </c>
      <c r="F87" s="53" t="str">
        <f t="shared" si="7"/>
        <v xml:space="preserve"> </v>
      </c>
      <c r="G87" s="45" t="str">
        <f t="shared" si="8"/>
        <v xml:space="preserve"> </v>
      </c>
    </row>
    <row r="88" spans="1:7" hidden="1" x14ac:dyDescent="0.15">
      <c r="A88" s="155" t="s">
        <v>80</v>
      </c>
      <c r="B88" s="155"/>
      <c r="C88" s="155"/>
      <c r="D88" s="31">
        <v>45002</v>
      </c>
      <c r="E88" s="54" t="str">
        <f t="shared" si="6"/>
        <v xml:space="preserve"> </v>
      </c>
      <c r="F88" s="53" t="str">
        <f t="shared" si="7"/>
        <v xml:space="preserve"> </v>
      </c>
      <c r="G88" s="45" t="str">
        <f t="shared" si="8"/>
        <v xml:space="preserve"> </v>
      </c>
    </row>
    <row r="89" spans="1:7" hidden="1" x14ac:dyDescent="0.15">
      <c r="A89" s="155" t="s">
        <v>81</v>
      </c>
      <c r="B89" s="155"/>
      <c r="C89" s="155"/>
      <c r="D89" s="31">
        <v>45033</v>
      </c>
      <c r="E89" s="54" t="str">
        <f t="shared" si="6"/>
        <v xml:space="preserve"> </v>
      </c>
      <c r="F89" s="53" t="str">
        <f t="shared" si="7"/>
        <v xml:space="preserve"> </v>
      </c>
      <c r="G89" s="45" t="str">
        <f t="shared" si="8"/>
        <v xml:space="preserve"> </v>
      </c>
    </row>
    <row r="90" spans="1:7" hidden="1" x14ac:dyDescent="0.15">
      <c r="A90" s="155" t="s">
        <v>82</v>
      </c>
      <c r="B90" s="155"/>
      <c r="C90" s="155"/>
      <c r="D90" s="31">
        <v>45063</v>
      </c>
      <c r="E90" s="54" t="str">
        <f t="shared" si="6"/>
        <v xml:space="preserve"> </v>
      </c>
      <c r="F90" s="53" t="str">
        <f t="shared" si="7"/>
        <v xml:space="preserve"> </v>
      </c>
      <c r="G90" s="45" t="str">
        <f t="shared" si="8"/>
        <v xml:space="preserve"> </v>
      </c>
    </row>
    <row r="91" spans="1:7" hidden="1" x14ac:dyDescent="0.15">
      <c r="A91" s="155" t="s">
        <v>83</v>
      </c>
      <c r="B91" s="155"/>
      <c r="C91" s="155"/>
      <c r="D91" s="31">
        <v>45094</v>
      </c>
      <c r="E91" s="54" t="str">
        <f t="shared" si="6"/>
        <v xml:space="preserve"> </v>
      </c>
      <c r="F91" s="53" t="str">
        <f t="shared" si="7"/>
        <v xml:space="preserve"> </v>
      </c>
      <c r="G91" s="45" t="str">
        <f t="shared" si="8"/>
        <v xml:space="preserve"> </v>
      </c>
    </row>
    <row r="92" spans="1:7" hidden="1" x14ac:dyDescent="0.15">
      <c r="A92" s="155" t="s">
        <v>84</v>
      </c>
      <c r="B92" s="155"/>
      <c r="C92" s="155"/>
      <c r="D92" s="31">
        <v>45124</v>
      </c>
      <c r="E92" s="54" t="str">
        <f t="shared" si="6"/>
        <v xml:space="preserve"> </v>
      </c>
      <c r="F92" s="53" t="str">
        <f t="shared" si="7"/>
        <v xml:space="preserve"> </v>
      </c>
      <c r="G92" s="45" t="str">
        <f t="shared" si="8"/>
        <v xml:space="preserve"> </v>
      </c>
    </row>
    <row r="93" spans="1:7" hidden="1" x14ac:dyDescent="0.15">
      <c r="A93" s="155" t="s">
        <v>85</v>
      </c>
      <c r="B93" s="155"/>
      <c r="C93" s="155"/>
      <c r="D93" s="31">
        <v>45155</v>
      </c>
      <c r="E93" s="54" t="str">
        <f t="shared" si="6"/>
        <v xml:space="preserve"> </v>
      </c>
      <c r="F93" s="53" t="str">
        <f t="shared" si="7"/>
        <v xml:space="preserve"> </v>
      </c>
      <c r="G93" s="45" t="str">
        <f t="shared" si="8"/>
        <v xml:space="preserve"> </v>
      </c>
    </row>
    <row r="94" spans="1:7" hidden="1" x14ac:dyDescent="0.15">
      <c r="A94" s="155" t="s">
        <v>86</v>
      </c>
      <c r="B94" s="155"/>
      <c r="C94" s="155"/>
      <c r="D94" s="31">
        <v>45186</v>
      </c>
      <c r="E94" s="54" t="str">
        <f t="shared" si="6"/>
        <v xml:space="preserve"> </v>
      </c>
      <c r="F94" s="53" t="str">
        <f t="shared" si="7"/>
        <v xml:space="preserve"> </v>
      </c>
      <c r="G94" s="45" t="str">
        <f t="shared" si="8"/>
        <v xml:space="preserve"> </v>
      </c>
    </row>
    <row r="95" spans="1:7" hidden="1" x14ac:dyDescent="0.15">
      <c r="A95" s="155" t="s">
        <v>87</v>
      </c>
      <c r="B95" s="155"/>
      <c r="C95" s="155"/>
      <c r="D95" s="31">
        <v>45216</v>
      </c>
      <c r="E95" s="54" t="str">
        <f t="shared" si="6"/>
        <v xml:space="preserve"> </v>
      </c>
      <c r="F95" s="53" t="str">
        <f t="shared" si="7"/>
        <v xml:space="preserve"> </v>
      </c>
      <c r="G95" s="45" t="str">
        <f t="shared" si="8"/>
        <v xml:space="preserve"> </v>
      </c>
    </row>
    <row r="96" spans="1:7" hidden="1" x14ac:dyDescent="0.15">
      <c r="A96" s="155" t="s">
        <v>88</v>
      </c>
      <c r="B96" s="155"/>
      <c r="C96" s="155"/>
      <c r="D96" s="31">
        <v>45247</v>
      </c>
      <c r="E96" s="54" t="str">
        <f t="shared" si="6"/>
        <v xml:space="preserve"> </v>
      </c>
      <c r="F96" s="53" t="str">
        <f t="shared" si="7"/>
        <v xml:space="preserve"> </v>
      </c>
      <c r="G96" s="45" t="str">
        <f t="shared" si="8"/>
        <v xml:space="preserve"> </v>
      </c>
    </row>
    <row r="97" spans="1:9" hidden="1" x14ac:dyDescent="0.15">
      <c r="A97" s="155" t="s">
        <v>89</v>
      </c>
      <c r="B97" s="155"/>
      <c r="C97" s="155"/>
      <c r="D97" s="31">
        <v>45277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5" t="s">
        <v>90</v>
      </c>
      <c r="B98" s="155"/>
      <c r="C98" s="155"/>
      <c r="D98" s="31">
        <v>45308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5" t="s">
        <v>91</v>
      </c>
      <c r="B99" s="155"/>
      <c r="C99" s="155"/>
      <c r="D99" s="31">
        <v>45339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5" t="s">
        <v>123</v>
      </c>
      <c r="B100" s="155"/>
      <c r="C100" s="155"/>
      <c r="D100" s="31">
        <v>45368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5" t="s">
        <v>124</v>
      </c>
      <c r="B101" s="155"/>
      <c r="C101" s="155"/>
      <c r="D101" s="31">
        <v>45399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28"/>
      <c r="B102" s="128"/>
      <c r="C102" s="128"/>
      <c r="D102" s="31">
        <v>45429</v>
      </c>
      <c r="E102" s="54"/>
      <c r="F102" s="53"/>
      <c r="G102" s="45"/>
    </row>
    <row r="103" spans="1:9" hidden="1" x14ac:dyDescent="0.15">
      <c r="A103" s="128"/>
      <c r="B103" s="128"/>
      <c r="C103" s="128"/>
      <c r="D103" s="31">
        <v>45460</v>
      </c>
      <c r="E103" s="54"/>
      <c r="F103" s="53"/>
      <c r="G103" s="45"/>
    </row>
    <row r="104" spans="1:9" hidden="1" x14ac:dyDescent="0.15">
      <c r="A104" s="128"/>
      <c r="B104" s="128"/>
      <c r="C104" s="128"/>
      <c r="D104" s="31">
        <v>45490</v>
      </c>
      <c r="E104" s="54"/>
      <c r="F104" s="53"/>
      <c r="G104" s="45"/>
    </row>
    <row r="105" spans="1:9" x14ac:dyDescent="0.15">
      <c r="B105" s="52"/>
      <c r="E105" s="51"/>
      <c r="F105" s="50"/>
      <c r="G105" s="49"/>
    </row>
    <row r="106" spans="1:9" x14ac:dyDescent="0.15">
      <c r="A106" s="48" t="s">
        <v>92</v>
      </c>
    </row>
    <row r="107" spans="1:9" hidden="1" x14ac:dyDescent="0.15">
      <c r="B107" s="41" t="s">
        <v>93</v>
      </c>
      <c r="F107" s="47">
        <f>D66</f>
        <v>44594</v>
      </c>
    </row>
    <row r="108" spans="1:9" x14ac:dyDescent="0.15">
      <c r="B108" s="41" t="s">
        <v>94</v>
      </c>
      <c r="F108" s="47">
        <f>D71+31</f>
        <v>44775</v>
      </c>
      <c r="G108" s="46">
        <f>ROUND(((G24+G25)*((100-A33)/100))+(G29*(100-A33)/100),2)</f>
        <v>1143923.2</v>
      </c>
      <c r="I108" s="45"/>
    </row>
    <row r="109" spans="1:9" hidden="1" x14ac:dyDescent="0.15">
      <c r="B109" s="41" t="s">
        <v>95</v>
      </c>
    </row>
    <row r="110" spans="1:9" ht="12.75" customHeight="1" x14ac:dyDescent="0.15"/>
    <row r="111" spans="1:9" x14ac:dyDescent="0.15">
      <c r="A111" s="44" t="s">
        <v>96</v>
      </c>
      <c r="B111" s="43"/>
      <c r="C111" s="43"/>
      <c r="D111" s="43"/>
    </row>
    <row r="112" spans="1:9" x14ac:dyDescent="0.15">
      <c r="A112" s="154" t="s">
        <v>97</v>
      </c>
      <c r="B112" s="154"/>
      <c r="C112" s="154"/>
      <c r="D112" s="154"/>
      <c r="E112" s="154"/>
      <c r="F112" s="154"/>
      <c r="G112" s="154"/>
    </row>
    <row r="113" spans="1:7" x14ac:dyDescent="0.15">
      <c r="A113" s="43" t="s">
        <v>98</v>
      </c>
      <c r="B113" s="43"/>
      <c r="C113" s="43"/>
      <c r="D113" s="43"/>
    </row>
    <row r="114" spans="1:7" x14ac:dyDescent="0.15">
      <c r="A114" s="43" t="s">
        <v>99</v>
      </c>
      <c r="B114" s="43"/>
      <c r="C114" s="43"/>
      <c r="D114" s="43"/>
    </row>
    <row r="115" spans="1:7" x14ac:dyDescent="0.15">
      <c r="A115" s="43" t="s">
        <v>100</v>
      </c>
      <c r="B115" s="43"/>
      <c r="C115" s="43"/>
      <c r="D115" s="43"/>
    </row>
    <row r="116" spans="1:7" x14ac:dyDescent="0.15">
      <c r="A116" s="127" t="s">
        <v>101</v>
      </c>
      <c r="B116" s="43"/>
      <c r="C116" s="43"/>
      <c r="D116" s="43"/>
    </row>
    <row r="117" spans="1:7" x14ac:dyDescent="0.15">
      <c r="A117" s="127" t="s">
        <v>102</v>
      </c>
      <c r="B117" s="43"/>
      <c r="C117" s="43"/>
      <c r="D117" s="43"/>
    </row>
    <row r="118" spans="1:7" x14ac:dyDescent="0.15">
      <c r="A118" s="127" t="s">
        <v>103</v>
      </c>
      <c r="B118" s="43"/>
      <c r="C118" s="43"/>
      <c r="D118" s="43"/>
    </row>
    <row r="119" spans="1:7" x14ac:dyDescent="0.15">
      <c r="A119" s="127" t="s">
        <v>104</v>
      </c>
      <c r="B119" s="43"/>
      <c r="C119" s="43"/>
      <c r="D119" s="43"/>
    </row>
    <row r="120" spans="1:7" x14ac:dyDescent="0.15">
      <c r="A120" s="127" t="s">
        <v>105</v>
      </c>
      <c r="B120" s="43"/>
      <c r="C120" s="43"/>
      <c r="D120" s="43"/>
    </row>
    <row r="121" spans="1:7" x14ac:dyDescent="0.15">
      <c r="A121" s="154" t="s">
        <v>106</v>
      </c>
      <c r="B121" s="154"/>
      <c r="C121" s="154"/>
      <c r="D121" s="154"/>
      <c r="E121" s="154"/>
      <c r="F121" s="154"/>
      <c r="G121" s="154"/>
    </row>
    <row r="122" spans="1:7" ht="12.75" customHeight="1" x14ac:dyDescent="0.15"/>
    <row r="123" spans="1:7" ht="12.75" customHeight="1" x14ac:dyDescent="0.15"/>
    <row r="124" spans="1:7" x14ac:dyDescent="0.15">
      <c r="A124" s="41" t="s">
        <v>107</v>
      </c>
      <c r="E124" s="41" t="s">
        <v>108</v>
      </c>
    </row>
    <row r="125" spans="1:7" ht="12.75" customHeight="1" x14ac:dyDescent="0.15"/>
    <row r="126" spans="1:7" ht="12.75" customHeight="1" x14ac:dyDescent="0.15"/>
    <row r="127" spans="1:7" x14ac:dyDescent="0.15">
      <c r="A127" s="42"/>
      <c r="B127" s="42"/>
      <c r="C127" s="42"/>
      <c r="E127" s="42"/>
      <c r="F127" s="42"/>
      <c r="G127" s="42"/>
    </row>
    <row r="128" spans="1:7" x14ac:dyDescent="0.15">
      <c r="A128" s="41" t="s">
        <v>109</v>
      </c>
      <c r="E128" s="41" t="s">
        <v>109</v>
      </c>
    </row>
    <row r="129" spans="1:5" x14ac:dyDescent="0.15">
      <c r="A129" s="41" t="s">
        <v>110</v>
      </c>
      <c r="E129" s="41" t="s">
        <v>111</v>
      </c>
    </row>
    <row r="130" spans="1:5" ht="12.75" customHeight="1" x14ac:dyDescent="0.15"/>
    <row r="131" spans="1:5" ht="12.75" customHeight="1" x14ac:dyDescent="0.15"/>
    <row r="132" spans="1:5" x14ac:dyDescent="0.15">
      <c r="A132" s="41" t="s">
        <v>112</v>
      </c>
    </row>
    <row r="133" spans="1:5" ht="12.75" customHeight="1" x14ac:dyDescent="0.15"/>
    <row r="134" spans="1:5" ht="12.75" customHeight="1" x14ac:dyDescent="0.15"/>
    <row r="135" spans="1:5" x14ac:dyDescent="0.15">
      <c r="A135" s="42"/>
      <c r="B135" s="42"/>
      <c r="C135" s="42"/>
    </row>
    <row r="136" spans="1:5" x14ac:dyDescent="0.15">
      <c r="A136" s="41" t="s">
        <v>109</v>
      </c>
    </row>
    <row r="137" spans="1:5" x14ac:dyDescent="0.15">
      <c r="A137" s="41" t="s">
        <v>113</v>
      </c>
    </row>
  </sheetData>
  <mergeCells count="62">
    <mergeCell ref="A112:G112"/>
    <mergeCell ref="A121:G121"/>
    <mergeCell ref="A96:C96"/>
    <mergeCell ref="A97:C97"/>
    <mergeCell ref="A98:C98"/>
    <mergeCell ref="A99:C99"/>
    <mergeCell ref="A100:C100"/>
    <mergeCell ref="A101:C101"/>
    <mergeCell ref="A95:C95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B47:C47"/>
    <mergeCell ref="B1:F1"/>
    <mergeCell ref="B2:F2"/>
    <mergeCell ref="A3:G3"/>
    <mergeCell ref="F6:G6"/>
    <mergeCell ref="F7:G7"/>
  </mergeCells>
  <conditionalFormatting sqref="B11 B25">
    <cfRule type="expression" dxfId="65" priority="1" stopIfTrue="1">
      <formula>G11=0</formula>
    </cfRule>
  </conditionalFormatting>
  <conditionalFormatting sqref="A49:C56">
    <cfRule type="expression" dxfId="64" priority="2" stopIfTrue="1">
      <formula>VALUE(NoDPSchedule)&lt;VALUE(LEFT(A49,1))</formula>
    </cfRule>
  </conditionalFormatting>
  <conditionalFormatting sqref="A57:C104">
    <cfRule type="expression" dxfId="63" priority="3" stopIfTrue="1">
      <formula>VALUE(NoDPSchedule)&lt;VALUE(LEFT(A57,2))</formula>
    </cfRule>
  </conditionalFormatting>
  <conditionalFormatting sqref="G11 G25">
    <cfRule type="expression" dxfId="62" priority="4" stopIfTrue="1">
      <formula>G11=0</formula>
    </cfRule>
  </conditionalFormatting>
  <conditionalFormatting sqref="D4">
    <cfRule type="expression" dxfId="61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67" orientation="portrait" horizontalDpi="429496729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20"/>
  <sheetViews>
    <sheetView tabSelected="1" workbookViewId="0">
      <selection activeCell="L99" sqref="L99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5" width="12.33203125" style="1"/>
    <col min="6" max="6" width="39.6640625" style="1" customWidth="1"/>
    <col min="7" max="7" width="18" style="1" customWidth="1"/>
    <col min="8" max="8" width="13.6640625" style="1" hidden="1" customWidth="1"/>
    <col min="9" max="9" width="2" style="1" customWidth="1"/>
    <col min="10" max="10" width="13.33203125" style="1" bestFit="1" customWidth="1"/>
    <col min="11" max="16384" width="12.33203125" style="1"/>
  </cols>
  <sheetData>
    <row r="1" spans="1:15" ht="14.25" customHeight="1" thickTop="1" thickBot="1" x14ac:dyDescent="0.25">
      <c r="A1" s="2"/>
      <c r="B1" s="135" t="s">
        <v>0</v>
      </c>
      <c r="C1" s="135"/>
      <c r="D1" s="135"/>
      <c r="E1" s="135"/>
      <c r="F1" s="135"/>
      <c r="G1" s="3"/>
    </row>
    <row r="2" spans="1:15" ht="14.25" customHeight="1" x14ac:dyDescent="0.15">
      <c r="A2" s="4"/>
      <c r="B2" s="136" t="s">
        <v>1</v>
      </c>
      <c r="C2" s="136"/>
      <c r="D2" s="136"/>
      <c r="E2" s="136"/>
      <c r="F2" s="136"/>
      <c r="G2" s="5"/>
      <c r="J2" s="165" t="s">
        <v>114</v>
      </c>
      <c r="K2" s="166"/>
      <c r="L2" s="166"/>
      <c r="M2" s="167"/>
    </row>
    <row r="3" spans="1:15" ht="30" customHeight="1" x14ac:dyDescent="0.15">
      <c r="A3" s="137" t="s">
        <v>2</v>
      </c>
      <c r="B3" s="138"/>
      <c r="C3" s="138"/>
      <c r="D3" s="138"/>
      <c r="E3" s="138"/>
      <c r="F3" s="138"/>
      <c r="G3" s="139"/>
      <c r="J3" s="168"/>
      <c r="K3" s="169"/>
      <c r="L3" s="169"/>
      <c r="M3" s="170"/>
    </row>
    <row r="4" spans="1:15" ht="13.5" customHeight="1" thickBot="1" x14ac:dyDescent="0.2">
      <c r="A4" s="6">
        <f>IF(A39&lt;=12,12,A39)</f>
        <v>48</v>
      </c>
      <c r="B4" s="7"/>
      <c r="C4" s="7"/>
      <c r="D4" s="96" t="s">
        <v>115</v>
      </c>
      <c r="E4" s="7"/>
      <c r="F4" s="7"/>
      <c r="G4" s="8"/>
      <c r="J4" s="168"/>
      <c r="K4" s="169"/>
      <c r="L4" s="169"/>
      <c r="M4" s="170"/>
    </row>
    <row r="5" spans="1:15" ht="13.5" customHeight="1" x14ac:dyDescent="0.15">
      <c r="G5" s="9">
        <v>24</v>
      </c>
      <c r="J5" s="168"/>
      <c r="K5" s="169"/>
      <c r="L5" s="169"/>
      <c r="M5" s="170"/>
    </row>
    <row r="6" spans="1:15" ht="13.5" customHeight="1" x14ac:dyDescent="0.15">
      <c r="A6" s="123" t="s">
        <v>4</v>
      </c>
      <c r="B6" s="123" t="s">
        <v>5</v>
      </c>
      <c r="C6" s="123" t="s">
        <v>6</v>
      </c>
      <c r="D6" s="123" t="s">
        <v>7</v>
      </c>
      <c r="E6" s="123"/>
      <c r="F6" s="140" t="s">
        <v>8</v>
      </c>
      <c r="G6" s="140"/>
      <c r="H6" s="93"/>
      <c r="I6" s="93"/>
      <c r="J6" s="171"/>
      <c r="K6" s="172"/>
      <c r="L6" s="172"/>
      <c r="M6" s="173"/>
    </row>
    <row r="7" spans="1:15" x14ac:dyDescent="0.15">
      <c r="A7" s="118">
        <v>1</v>
      </c>
      <c r="B7" s="132">
        <v>28</v>
      </c>
      <c r="C7" s="132" t="s">
        <v>129</v>
      </c>
      <c r="D7" s="132">
        <v>12.5</v>
      </c>
      <c r="E7" s="132"/>
      <c r="F7" s="163" t="s">
        <v>130</v>
      </c>
      <c r="G7" s="164"/>
      <c r="I7" s="97"/>
    </row>
    <row r="8" spans="1:15" ht="12.75" customHeight="1" x14ac:dyDescent="0.15">
      <c r="J8" s="108"/>
      <c r="K8" s="108"/>
      <c r="L8" s="108"/>
      <c r="M8" s="109"/>
      <c r="N8" s="108"/>
      <c r="O8" s="105"/>
    </row>
    <row r="9" spans="1:15" ht="12.75" customHeight="1" x14ac:dyDescent="0.15">
      <c r="J9" s="116"/>
      <c r="K9" s="116"/>
      <c r="L9" s="116"/>
      <c r="M9" s="117"/>
      <c r="N9" s="116"/>
      <c r="O9" s="105"/>
    </row>
    <row r="10" spans="1:15" ht="16" x14ac:dyDescent="0.2">
      <c r="A10" s="10" t="s">
        <v>10</v>
      </c>
      <c r="B10" s="10"/>
      <c r="C10" s="11"/>
      <c r="D10" s="12"/>
      <c r="E10" s="12"/>
      <c r="F10" s="13" t="s">
        <v>11</v>
      </c>
      <c r="G10" s="121">
        <v>1500800</v>
      </c>
      <c r="H10" s="100">
        <f>G10/1.12</f>
        <v>1339999.9999999998</v>
      </c>
      <c r="I10" s="97"/>
      <c r="J10" s="133"/>
      <c r="K10" s="133"/>
      <c r="L10" s="133"/>
      <c r="M10" s="133"/>
      <c r="N10" s="109"/>
      <c r="O10" s="108"/>
    </row>
    <row r="11" spans="1:15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160800</v>
      </c>
      <c r="J11" s="120"/>
      <c r="K11" s="120"/>
      <c r="L11" s="120"/>
      <c r="M11" s="119"/>
      <c r="N11" s="120"/>
      <c r="O11" s="110"/>
    </row>
    <row r="12" spans="1:15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11"/>
      <c r="K12" s="110"/>
      <c r="L12" s="110"/>
      <c r="M12" s="110"/>
      <c r="N12" s="110"/>
      <c r="O12" s="110"/>
    </row>
    <row r="13" spans="1:15" hidden="1" x14ac:dyDescent="0.15">
      <c r="B13" s="1" t="s">
        <v>14</v>
      </c>
      <c r="G13" s="18">
        <v>0</v>
      </c>
      <c r="I13" s="18"/>
      <c r="J13" s="111"/>
      <c r="K13" s="110"/>
      <c r="L13" s="110"/>
      <c r="M13" s="110"/>
      <c r="N13" s="110"/>
      <c r="O13" s="110"/>
    </row>
    <row r="14" spans="1:15" hidden="1" x14ac:dyDescent="0.15">
      <c r="B14" s="1" t="s">
        <v>15</v>
      </c>
      <c r="G14" s="18">
        <v>0</v>
      </c>
      <c r="I14" s="18"/>
      <c r="J14" s="111"/>
      <c r="K14" s="110"/>
      <c r="L14" s="110"/>
      <c r="M14" s="110"/>
      <c r="N14" s="110"/>
      <c r="O14" s="110"/>
    </row>
    <row r="15" spans="1:15" ht="14" hidden="1" x14ac:dyDescent="0.2">
      <c r="B15" s="41" t="s">
        <v>118</v>
      </c>
      <c r="C15" s="41"/>
      <c r="D15" s="38" t="s">
        <v>120</v>
      </c>
      <c r="E15"/>
      <c r="F15"/>
      <c r="G15" s="18"/>
      <c r="H15" s="100">
        <f>SUM(G11+G15)</f>
        <v>160800</v>
      </c>
      <c r="I15" s="18"/>
      <c r="J15" s="110"/>
      <c r="K15" s="110"/>
      <c r="L15" s="110"/>
      <c r="M15" s="110"/>
      <c r="N15" s="110"/>
      <c r="O15" s="110"/>
    </row>
    <row r="16" spans="1:15" hidden="1" x14ac:dyDescent="0.15">
      <c r="B16" s="1" t="s">
        <v>18</v>
      </c>
      <c r="G16" s="18">
        <v>0</v>
      </c>
      <c r="I16" s="18"/>
      <c r="J16" s="110"/>
      <c r="K16" s="110"/>
      <c r="L16" s="110"/>
      <c r="M16" s="110"/>
      <c r="N16" s="110"/>
      <c r="O16" s="110"/>
    </row>
    <row r="17" spans="1:15" hidden="1" x14ac:dyDescent="0.15">
      <c r="B17" s="1" t="s">
        <v>19</v>
      </c>
      <c r="G17" s="18">
        <v>0</v>
      </c>
      <c r="I17" s="18"/>
      <c r="J17" s="110"/>
      <c r="K17" s="110"/>
      <c r="L17" s="110"/>
      <c r="M17" s="110"/>
      <c r="N17" s="110"/>
      <c r="O17" s="110"/>
    </row>
    <row r="18" spans="1:15" hidden="1" x14ac:dyDescent="0.15">
      <c r="B18" s="1" t="s">
        <v>20</v>
      </c>
      <c r="G18" s="18">
        <v>0</v>
      </c>
      <c r="H18" s="18"/>
      <c r="I18" s="18"/>
      <c r="J18" s="111"/>
      <c r="K18" s="110"/>
      <c r="L18" s="110"/>
      <c r="M18" s="110"/>
      <c r="N18" s="110"/>
      <c r="O18" s="110"/>
    </row>
    <row r="19" spans="1:15" hidden="1" x14ac:dyDescent="0.15">
      <c r="B19" s="1" t="s">
        <v>21</v>
      </c>
      <c r="G19" s="18">
        <v>0</v>
      </c>
      <c r="J19" s="111"/>
      <c r="K19" s="110"/>
      <c r="L19" s="110"/>
      <c r="M19" s="110"/>
      <c r="N19" s="110"/>
      <c r="O19" s="110"/>
    </row>
    <row r="20" spans="1:15" hidden="1" x14ac:dyDescent="0.15">
      <c r="B20" s="1" t="s">
        <v>22</v>
      </c>
      <c r="G20" s="18">
        <v>0</v>
      </c>
      <c r="J20" s="111"/>
      <c r="K20" s="110"/>
      <c r="L20" s="110"/>
      <c r="M20" s="110"/>
      <c r="N20" s="110"/>
      <c r="O20" s="110"/>
    </row>
    <row r="21" spans="1:15" hidden="1" x14ac:dyDescent="0.15">
      <c r="B21" s="1" t="s">
        <v>23</v>
      </c>
      <c r="G21" s="18">
        <v>0</v>
      </c>
      <c r="J21" s="111"/>
      <c r="K21" s="110"/>
      <c r="L21" s="110"/>
      <c r="M21" s="110"/>
      <c r="N21" s="110"/>
      <c r="O21" s="110"/>
    </row>
    <row r="22" spans="1:15" hidden="1" x14ac:dyDescent="0.15">
      <c r="B22" s="1" t="s">
        <v>24</v>
      </c>
      <c r="G22" s="18">
        <v>0</v>
      </c>
      <c r="J22" s="111"/>
      <c r="K22" s="110"/>
      <c r="L22" s="110"/>
      <c r="M22" s="110"/>
      <c r="N22" s="110"/>
      <c r="O22" s="110"/>
    </row>
    <row r="23" spans="1:15" ht="13.5" customHeight="1" thickBot="1" x14ac:dyDescent="0.2">
      <c r="F23" s="15"/>
      <c r="G23" s="19"/>
      <c r="H23" s="100">
        <f>G10-H15</f>
        <v>1340000</v>
      </c>
      <c r="J23" s="111"/>
      <c r="K23" s="110"/>
      <c r="L23" s="110"/>
      <c r="M23" s="110"/>
      <c r="N23" s="110"/>
      <c r="O23" s="110"/>
    </row>
    <row r="24" spans="1:15" ht="13.5" customHeight="1" thickTop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1340000</v>
      </c>
      <c r="J24" s="110"/>
      <c r="K24" s="110"/>
      <c r="L24" s="110"/>
      <c r="M24" s="110"/>
      <c r="N24" s="110"/>
      <c r="O24" s="110"/>
    </row>
    <row r="25" spans="1:15" x14ac:dyDescent="0.15">
      <c r="A25" s="1" t="s">
        <v>26</v>
      </c>
      <c r="B25" s="1" t="s">
        <v>13</v>
      </c>
      <c r="G25" s="18">
        <f>ROUND(IF(ISERROR(FIND("PARKING",Model,1)),IF(G24&gt;3199200,G24*12%,0),G24*12%),2)</f>
        <v>160800</v>
      </c>
      <c r="I25" s="18"/>
      <c r="J25" s="110"/>
      <c r="K25" s="110"/>
      <c r="L25" s="110"/>
      <c r="M25" s="110"/>
      <c r="N25" s="110"/>
      <c r="O25" s="110"/>
    </row>
    <row r="26" spans="1:15" hidden="1" x14ac:dyDescent="0.15">
      <c r="A26" s="17">
        <v>7</v>
      </c>
      <c r="B26" s="1" t="s">
        <v>27</v>
      </c>
      <c r="G26" s="18">
        <f>ROUND(G24*(A26/100),2)</f>
        <v>93800</v>
      </c>
      <c r="J26" s="110"/>
      <c r="K26" s="110"/>
      <c r="L26" s="110"/>
      <c r="M26" s="110"/>
      <c r="N26" s="110"/>
      <c r="O26" s="110"/>
    </row>
    <row r="27" spans="1:15" hidden="1" x14ac:dyDescent="0.15">
      <c r="A27" s="17"/>
      <c r="B27" s="1" t="s">
        <v>28</v>
      </c>
      <c r="F27" s="17">
        <f>IF(G27&gt;50000,50000,G27)</f>
        <v>0</v>
      </c>
      <c r="G27" s="18">
        <v>0</v>
      </c>
      <c r="J27" s="110"/>
      <c r="K27" s="110"/>
      <c r="L27" s="110"/>
      <c r="M27" s="110"/>
      <c r="N27" s="110"/>
      <c r="O27" s="110"/>
    </row>
    <row r="28" spans="1:15" hidden="1" x14ac:dyDescent="0.15">
      <c r="A28" s="17"/>
      <c r="B28" s="1" t="s">
        <v>29</v>
      </c>
      <c r="G28" s="18">
        <v>0</v>
      </c>
      <c r="J28" s="110"/>
      <c r="K28" s="110"/>
      <c r="L28" s="110"/>
      <c r="M28" s="110"/>
      <c r="N28" s="110"/>
      <c r="O28" s="110"/>
    </row>
    <row r="29" spans="1:15" ht="13.5" customHeight="1" thickBot="1" x14ac:dyDescent="0.2">
      <c r="A29" s="17"/>
      <c r="B29" s="1" t="s">
        <v>27</v>
      </c>
      <c r="G29" s="18">
        <f>ROUND(SUM(G26,G28,F27),2)</f>
        <v>93800</v>
      </c>
      <c r="J29" s="110"/>
      <c r="K29" s="110"/>
      <c r="L29" s="110"/>
      <c r="M29" s="110"/>
      <c r="N29" s="110"/>
      <c r="O29" s="110"/>
    </row>
    <row r="30" spans="1:15" ht="13.5" customHeight="1" thickTop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1594600</v>
      </c>
      <c r="J30" s="110"/>
      <c r="K30" s="110"/>
      <c r="L30" s="110"/>
      <c r="M30" s="110"/>
      <c r="N30" s="110"/>
      <c r="O30" s="110"/>
    </row>
    <row r="31" spans="1:15" ht="12.75" customHeight="1" x14ac:dyDescent="0.15">
      <c r="J31" s="110"/>
      <c r="K31" s="110"/>
      <c r="L31" s="110"/>
      <c r="M31" s="110"/>
      <c r="N31" s="110"/>
      <c r="O31" s="110"/>
    </row>
    <row r="32" spans="1:15" x14ac:dyDescent="0.15">
      <c r="A32" s="22" t="s">
        <v>31</v>
      </c>
      <c r="J32" s="110"/>
      <c r="K32" s="110"/>
      <c r="L32" s="110"/>
      <c r="M32" s="110"/>
      <c r="N32" s="110"/>
      <c r="O32" s="110"/>
    </row>
    <row r="33" spans="1:15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300160</v>
      </c>
      <c r="J33" s="111"/>
      <c r="K33" s="110"/>
      <c r="L33" s="110"/>
      <c r="M33" s="110"/>
      <c r="N33" s="110"/>
      <c r="O33" s="110"/>
    </row>
    <row r="34" spans="1:15" ht="13.5" customHeight="1" thickBot="1" x14ac:dyDescent="0.2">
      <c r="A34" s="22"/>
      <c r="B34" s="1" t="s">
        <v>32</v>
      </c>
      <c r="G34" s="18">
        <f>ROUND(G29*(A33/100),2)</f>
        <v>18760</v>
      </c>
      <c r="J34" s="24"/>
    </row>
    <row r="35" spans="1:15" ht="13.5" customHeight="1" thickTop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318920</v>
      </c>
    </row>
    <row r="36" spans="1:15" ht="13.5" customHeight="1" thickBot="1" x14ac:dyDescent="0.2">
      <c r="A36" s="1" t="s">
        <v>12</v>
      </c>
      <c r="B36" s="1" t="s">
        <v>34</v>
      </c>
      <c r="F36" s="25">
        <f ca="1">NOW()</f>
        <v>44075.451322222223</v>
      </c>
      <c r="G36" s="18">
        <v>20000</v>
      </c>
    </row>
    <row r="37" spans="1:15" ht="13.5" customHeight="1" thickTop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298920</v>
      </c>
    </row>
    <row r="38" spans="1:15" x14ac:dyDescent="0.15">
      <c r="A38" s="17">
        <v>0</v>
      </c>
    </row>
    <row r="39" spans="1:15" ht="25.5" customHeight="1" x14ac:dyDescent="0.15">
      <c r="A39" s="27">
        <v>48</v>
      </c>
      <c r="B39" s="142" t="s">
        <v>36</v>
      </c>
      <c r="C39" s="142"/>
      <c r="D39" s="125" t="s">
        <v>37</v>
      </c>
      <c r="E39" s="28" t="s">
        <v>38</v>
      </c>
      <c r="F39" s="29" t="s">
        <v>27</v>
      </c>
      <c r="G39" s="30" t="s">
        <v>39</v>
      </c>
    </row>
    <row r="40" spans="1:15" x14ac:dyDescent="0.15">
      <c r="A40" s="134" t="s">
        <v>40</v>
      </c>
      <c r="B40" s="134"/>
      <c r="C40" s="134"/>
      <c r="D40" s="106">
        <f ca="1">F36+30</f>
        <v>44105.451322222223</v>
      </c>
      <c r="E40" s="16">
        <f>ROUND((G35-G36-G34)/A39,2)</f>
        <v>5836.67</v>
      </c>
      <c r="F40" s="32">
        <f>ROUND(SUM(G34:G34)/A39,2)</f>
        <v>390.83</v>
      </c>
      <c r="G40" s="18">
        <f>SUM(E40:F40)</f>
        <v>6227.5</v>
      </c>
    </row>
    <row r="41" spans="1:15" x14ac:dyDescent="0.15">
      <c r="A41" s="134" t="s">
        <v>41</v>
      </c>
      <c r="B41" s="134"/>
      <c r="C41" s="134"/>
      <c r="D41" s="31">
        <v>44137</v>
      </c>
      <c r="E41" s="16">
        <f>IF($A$39&lt;VALUE(LEFT(A41,1))," ",IF($A$39=VALUE(LEFT(A41,1)),($G$35-$G$36-$G$34)-($E$40*($A$39-1)),E40))</f>
        <v>5836.67</v>
      </c>
      <c r="F41" s="32">
        <f>IF($A$39&lt;VALUE(LEFT(A41,1))," ",IF($A$39=VALUE(LEFT(A41,1)),$G$34-($F$40*($A$39-1)),F40))</f>
        <v>390.83</v>
      </c>
      <c r="G41" s="18">
        <f>IF($A$39&lt;VALUE(LEFT(A41,1))," ",SUM(E41:F41))</f>
        <v>6227.5</v>
      </c>
    </row>
    <row r="42" spans="1:15" x14ac:dyDescent="0.15">
      <c r="A42" s="134" t="s">
        <v>42</v>
      </c>
      <c r="B42" s="134"/>
      <c r="C42" s="134"/>
      <c r="D42" s="31">
        <v>44167</v>
      </c>
      <c r="E42" s="16">
        <f t="shared" ref="E42:E48" si="0">IF($A$39&lt;VALUE(LEFT(A42,1))," ",IF($A$39=VALUE(LEFT(A42,1)),($G$35-$G$36-$G$34)-($E$40*($A$39-1)),E41))</f>
        <v>5836.67</v>
      </c>
      <c r="F42" s="32">
        <f t="shared" ref="F42:F48" si="1">IF($A$39&lt;VALUE(LEFT(A42,1))," ",IF($A$39=VALUE(LEFT(A42,1)),$G$34-($F$40*($A$39-1)),F41))</f>
        <v>390.83</v>
      </c>
      <c r="G42" s="18">
        <f t="shared" ref="G42:G48" si="2">IF($A$39&lt;VALUE(LEFT(A42,1))," ",SUM(E42:F42))</f>
        <v>6227.5</v>
      </c>
    </row>
    <row r="43" spans="1:15" x14ac:dyDescent="0.15">
      <c r="A43" s="134" t="s">
        <v>43</v>
      </c>
      <c r="B43" s="134"/>
      <c r="C43" s="134"/>
      <c r="D43" s="31">
        <v>44198</v>
      </c>
      <c r="E43" s="16">
        <f t="shared" si="0"/>
        <v>5836.67</v>
      </c>
      <c r="F43" s="32">
        <f t="shared" si="1"/>
        <v>390.83</v>
      </c>
      <c r="G43" s="18">
        <f t="shared" si="2"/>
        <v>6227.5</v>
      </c>
    </row>
    <row r="44" spans="1:15" x14ac:dyDescent="0.15">
      <c r="A44" s="134" t="s">
        <v>44</v>
      </c>
      <c r="B44" s="134"/>
      <c r="C44" s="134"/>
      <c r="D44" s="31">
        <v>44229</v>
      </c>
      <c r="E44" s="16">
        <f t="shared" si="0"/>
        <v>5836.67</v>
      </c>
      <c r="F44" s="32">
        <f t="shared" si="1"/>
        <v>390.83</v>
      </c>
      <c r="G44" s="18">
        <f t="shared" si="2"/>
        <v>6227.5</v>
      </c>
    </row>
    <row r="45" spans="1:15" x14ac:dyDescent="0.15">
      <c r="A45" s="134" t="s">
        <v>45</v>
      </c>
      <c r="B45" s="134"/>
      <c r="C45" s="134"/>
      <c r="D45" s="31">
        <v>44257</v>
      </c>
      <c r="E45" s="16">
        <f t="shared" si="0"/>
        <v>5836.67</v>
      </c>
      <c r="F45" s="32">
        <f t="shared" si="1"/>
        <v>390.83</v>
      </c>
      <c r="G45" s="18">
        <f t="shared" si="2"/>
        <v>6227.5</v>
      </c>
    </row>
    <row r="46" spans="1:15" x14ac:dyDescent="0.15">
      <c r="A46" s="134" t="s">
        <v>46</v>
      </c>
      <c r="B46" s="134"/>
      <c r="C46" s="134"/>
      <c r="D46" s="31">
        <v>44288</v>
      </c>
      <c r="E46" s="16">
        <f t="shared" si="0"/>
        <v>5836.67</v>
      </c>
      <c r="F46" s="32">
        <f t="shared" si="1"/>
        <v>390.83</v>
      </c>
      <c r="G46" s="18">
        <f t="shared" si="2"/>
        <v>6227.5</v>
      </c>
    </row>
    <row r="47" spans="1:15" x14ac:dyDescent="0.15">
      <c r="A47" s="134" t="s">
        <v>47</v>
      </c>
      <c r="B47" s="134"/>
      <c r="C47" s="134"/>
      <c r="D47" s="31">
        <v>44318</v>
      </c>
      <c r="E47" s="16">
        <f t="shared" si="0"/>
        <v>5836.67</v>
      </c>
      <c r="F47" s="32">
        <f t="shared" si="1"/>
        <v>390.83</v>
      </c>
      <c r="G47" s="18">
        <f t="shared" si="2"/>
        <v>6227.5</v>
      </c>
    </row>
    <row r="48" spans="1:15" x14ac:dyDescent="0.15">
      <c r="A48" s="134" t="s">
        <v>48</v>
      </c>
      <c r="B48" s="134"/>
      <c r="C48" s="134"/>
      <c r="D48" s="31">
        <v>44349</v>
      </c>
      <c r="E48" s="16">
        <f t="shared" si="0"/>
        <v>5836.67</v>
      </c>
      <c r="F48" s="32">
        <f t="shared" si="1"/>
        <v>390.83</v>
      </c>
      <c r="G48" s="18">
        <f t="shared" si="2"/>
        <v>6227.5</v>
      </c>
    </row>
    <row r="49" spans="1:7" x14ac:dyDescent="0.15">
      <c r="A49" s="134" t="s">
        <v>49</v>
      </c>
      <c r="B49" s="134"/>
      <c r="C49" s="134"/>
      <c r="D49" s="31">
        <v>44379</v>
      </c>
      <c r="E49" s="16">
        <f>IF($A$39&lt;VALUE(LEFT(A49,2))," ",IF($A$39=VALUE(LEFT(A49,2)),($G$35-$G$36-$G$34)-($E$40*($A$39-1)),E48))</f>
        <v>5836.67</v>
      </c>
      <c r="F49" s="32">
        <f>IF($A$39&lt;VALUE(LEFT(A49,2))," ",IF($A$39=VALUE(LEFT(A49,2)),$G$34-($F$40*($A$39-1)),F48))</f>
        <v>390.83</v>
      </c>
      <c r="G49" s="18">
        <f>IF($A$39&lt;VALUE(LEFT(A49,2))," ",SUM(E49:F49))</f>
        <v>6227.5</v>
      </c>
    </row>
    <row r="50" spans="1:7" x14ac:dyDescent="0.15">
      <c r="A50" s="134" t="s">
        <v>50</v>
      </c>
      <c r="B50" s="134"/>
      <c r="C50" s="134"/>
      <c r="D50" s="31">
        <v>44410</v>
      </c>
      <c r="E50" s="16">
        <f t="shared" ref="E50:E62" si="3">IF($A$39&lt;VALUE(LEFT(A50,2))," ",IF($A$39=VALUE(LEFT(A50,2)),($G$35-$G$36-$G$34)-($E$40*($A$39-1)),E49))</f>
        <v>5836.67</v>
      </c>
      <c r="F50" s="32">
        <f t="shared" ref="F50:F62" si="4">IF($A$39&lt;VALUE(LEFT(A50,2))," ",IF($A$39=VALUE(LEFT(A50,2)),$G$34-($F$40*($A$39-1)),F49))</f>
        <v>390.83</v>
      </c>
      <c r="G50" s="18">
        <f t="shared" ref="G50:G62" si="5">IF($A$39&lt;VALUE(LEFT(A50,2))," ",SUM(E50:F50))</f>
        <v>6227.5</v>
      </c>
    </row>
    <row r="51" spans="1:7" x14ac:dyDescent="0.15">
      <c r="A51" s="134" t="s">
        <v>51</v>
      </c>
      <c r="B51" s="134"/>
      <c r="C51" s="134"/>
      <c r="D51" s="31">
        <v>44441</v>
      </c>
      <c r="E51" s="16">
        <f t="shared" si="3"/>
        <v>5836.67</v>
      </c>
      <c r="F51" s="32">
        <f t="shared" si="4"/>
        <v>390.83</v>
      </c>
      <c r="G51" s="18">
        <f t="shared" si="5"/>
        <v>6227.5</v>
      </c>
    </row>
    <row r="52" spans="1:7" x14ac:dyDescent="0.15">
      <c r="A52" s="134" t="s">
        <v>52</v>
      </c>
      <c r="B52" s="134"/>
      <c r="C52" s="134"/>
      <c r="D52" s="31">
        <v>44471</v>
      </c>
      <c r="E52" s="16">
        <f t="shared" si="3"/>
        <v>5836.67</v>
      </c>
      <c r="F52" s="32">
        <f t="shared" si="4"/>
        <v>390.83</v>
      </c>
      <c r="G52" s="18">
        <f t="shared" si="5"/>
        <v>6227.5</v>
      </c>
    </row>
    <row r="53" spans="1:7" x14ac:dyDescent="0.15">
      <c r="A53" s="134" t="s">
        <v>53</v>
      </c>
      <c r="B53" s="134"/>
      <c r="C53" s="134"/>
      <c r="D53" s="31">
        <v>44502</v>
      </c>
      <c r="E53" s="16">
        <f t="shared" si="3"/>
        <v>5836.67</v>
      </c>
      <c r="F53" s="32">
        <f t="shared" si="4"/>
        <v>390.83</v>
      </c>
      <c r="G53" s="18">
        <f t="shared" si="5"/>
        <v>6227.5</v>
      </c>
    </row>
    <row r="54" spans="1:7" x14ac:dyDescent="0.15">
      <c r="A54" s="134" t="s">
        <v>54</v>
      </c>
      <c r="B54" s="134"/>
      <c r="C54" s="134"/>
      <c r="D54" s="31">
        <v>44532</v>
      </c>
      <c r="E54" s="16">
        <f t="shared" si="3"/>
        <v>5836.67</v>
      </c>
      <c r="F54" s="32">
        <f t="shared" si="4"/>
        <v>390.83</v>
      </c>
      <c r="G54" s="18">
        <f t="shared" si="5"/>
        <v>6227.5</v>
      </c>
    </row>
    <row r="55" spans="1:7" x14ac:dyDescent="0.15">
      <c r="A55" s="134" t="s">
        <v>55</v>
      </c>
      <c r="B55" s="134"/>
      <c r="C55" s="134"/>
      <c r="D55" s="31">
        <v>44563</v>
      </c>
      <c r="E55" s="16">
        <f t="shared" si="3"/>
        <v>5836.67</v>
      </c>
      <c r="F55" s="32">
        <f t="shared" si="4"/>
        <v>390.83</v>
      </c>
      <c r="G55" s="18">
        <f t="shared" si="5"/>
        <v>6227.5</v>
      </c>
    </row>
    <row r="56" spans="1:7" x14ac:dyDescent="0.15">
      <c r="A56" s="134" t="s">
        <v>56</v>
      </c>
      <c r="B56" s="134"/>
      <c r="C56" s="134"/>
      <c r="D56" s="31">
        <v>44594</v>
      </c>
      <c r="E56" s="16">
        <f t="shared" si="3"/>
        <v>5836.67</v>
      </c>
      <c r="F56" s="32">
        <f t="shared" si="4"/>
        <v>390.83</v>
      </c>
      <c r="G56" s="18">
        <f t="shared" si="5"/>
        <v>6227.5</v>
      </c>
    </row>
    <row r="57" spans="1:7" x14ac:dyDescent="0.15">
      <c r="A57" s="134" t="s">
        <v>57</v>
      </c>
      <c r="B57" s="134"/>
      <c r="C57" s="134"/>
      <c r="D57" s="31">
        <v>44622</v>
      </c>
      <c r="E57" s="16">
        <f t="shared" si="3"/>
        <v>5836.67</v>
      </c>
      <c r="F57" s="32">
        <f t="shared" si="4"/>
        <v>390.83</v>
      </c>
      <c r="G57" s="18">
        <f t="shared" si="5"/>
        <v>6227.5</v>
      </c>
    </row>
    <row r="58" spans="1:7" x14ac:dyDescent="0.15">
      <c r="A58" s="134" t="s">
        <v>58</v>
      </c>
      <c r="B58" s="134"/>
      <c r="C58" s="134"/>
      <c r="D58" s="31">
        <v>44653</v>
      </c>
      <c r="E58" s="16">
        <f t="shared" si="3"/>
        <v>5836.67</v>
      </c>
      <c r="F58" s="32">
        <f t="shared" si="4"/>
        <v>390.83</v>
      </c>
      <c r="G58" s="18">
        <f t="shared" si="5"/>
        <v>6227.5</v>
      </c>
    </row>
    <row r="59" spans="1:7" x14ac:dyDescent="0.15">
      <c r="A59" s="134" t="s">
        <v>59</v>
      </c>
      <c r="B59" s="134"/>
      <c r="C59" s="134"/>
      <c r="D59" s="31">
        <v>44683</v>
      </c>
      <c r="E59" s="16">
        <f t="shared" si="3"/>
        <v>5836.67</v>
      </c>
      <c r="F59" s="32">
        <f t="shared" si="4"/>
        <v>390.83</v>
      </c>
      <c r="G59" s="18">
        <f t="shared" si="5"/>
        <v>6227.5</v>
      </c>
    </row>
    <row r="60" spans="1:7" x14ac:dyDescent="0.15">
      <c r="A60" s="134" t="s">
        <v>60</v>
      </c>
      <c r="B60" s="134"/>
      <c r="C60" s="134"/>
      <c r="D60" s="31">
        <v>44714</v>
      </c>
      <c r="E60" s="16">
        <f t="shared" si="3"/>
        <v>5836.67</v>
      </c>
      <c r="F60" s="32">
        <f t="shared" si="4"/>
        <v>390.83</v>
      </c>
      <c r="G60" s="18">
        <f t="shared" si="5"/>
        <v>6227.5</v>
      </c>
    </row>
    <row r="61" spans="1:7" x14ac:dyDescent="0.15">
      <c r="A61" s="134" t="s">
        <v>61</v>
      </c>
      <c r="B61" s="134"/>
      <c r="C61" s="134"/>
      <c r="D61" s="31">
        <v>44744</v>
      </c>
      <c r="E61" s="16">
        <f t="shared" si="3"/>
        <v>5836.67</v>
      </c>
      <c r="F61" s="32">
        <f t="shared" si="4"/>
        <v>390.83</v>
      </c>
      <c r="G61" s="18">
        <f t="shared" si="5"/>
        <v>6227.5</v>
      </c>
    </row>
    <row r="62" spans="1:7" x14ac:dyDescent="0.15">
      <c r="A62" s="134" t="s">
        <v>62</v>
      </c>
      <c r="B62" s="134"/>
      <c r="C62" s="134"/>
      <c r="D62" s="31">
        <v>44775</v>
      </c>
      <c r="E62" s="16">
        <f t="shared" si="3"/>
        <v>5836.67</v>
      </c>
      <c r="F62" s="32">
        <f t="shared" si="4"/>
        <v>390.83</v>
      </c>
      <c r="G62" s="18">
        <f t="shared" si="5"/>
        <v>6227.5</v>
      </c>
    </row>
    <row r="63" spans="1:7" x14ac:dyDescent="0.15">
      <c r="A63" s="134" t="s">
        <v>63</v>
      </c>
      <c r="B63" s="134"/>
      <c r="C63" s="134"/>
      <c r="D63" s="31">
        <v>44806</v>
      </c>
      <c r="E63" s="16">
        <f>IF($A$39&lt;VALUE(LEFT(A63,2))," ",IF($A$39=VALUE(LEFT(A63,2)),($G$35-$G$36-$G$34)-($E$40*($A$39-1)),E62))</f>
        <v>5836.67</v>
      </c>
      <c r="F63" s="32">
        <f>IF($A$39&lt;VALUE(LEFT(A63,2))," ",IF($A$39=VALUE(LEFT(A63,2)),$G$34-($F$40*($A$39-1)),F62))</f>
        <v>390.83</v>
      </c>
      <c r="G63" s="18">
        <f>IF($A$39&lt;VALUE(LEFT(A63,2))," ",SUM(E63:F63))</f>
        <v>6227.5</v>
      </c>
    </row>
    <row r="64" spans="1:7" x14ac:dyDescent="0.15">
      <c r="A64" s="134" t="s">
        <v>64</v>
      </c>
      <c r="B64" s="134"/>
      <c r="C64" s="134"/>
      <c r="D64" s="31">
        <v>44836</v>
      </c>
      <c r="E64" s="16">
        <f t="shared" ref="E64:E73" si="6">IF($A$39&lt;VALUE(LEFT(A64,2))," ",IF($A$39=VALUE(LEFT(A64,2)),($G$35-$G$36-$G$34)-($E$40*($A$39-1)),E63))</f>
        <v>5836.67</v>
      </c>
      <c r="F64" s="32">
        <f t="shared" ref="F64:F73" si="7">IF($A$39&lt;VALUE(LEFT(A64,2))," ",IF($A$39=VALUE(LEFT(A64,2)),$G$34-($F$40*($A$39-1)),F63))</f>
        <v>390.83</v>
      </c>
      <c r="G64" s="18">
        <f t="shared" ref="G64:G73" si="8">IF($A$39&lt;VALUE(LEFT(A64,2))," ",SUM(E64:F64))</f>
        <v>6227.5</v>
      </c>
    </row>
    <row r="65" spans="1:7" x14ac:dyDescent="0.15">
      <c r="A65" s="134" t="s">
        <v>65</v>
      </c>
      <c r="B65" s="134"/>
      <c r="C65" s="134"/>
      <c r="D65" s="31">
        <v>44867</v>
      </c>
      <c r="E65" s="16">
        <f t="shared" si="6"/>
        <v>5836.67</v>
      </c>
      <c r="F65" s="32">
        <f t="shared" si="7"/>
        <v>390.83</v>
      </c>
      <c r="G65" s="18">
        <f t="shared" si="8"/>
        <v>6227.5</v>
      </c>
    </row>
    <row r="66" spans="1:7" x14ac:dyDescent="0.15">
      <c r="A66" s="134" t="s">
        <v>66</v>
      </c>
      <c r="B66" s="134"/>
      <c r="C66" s="134"/>
      <c r="D66" s="31">
        <v>44897</v>
      </c>
      <c r="E66" s="16">
        <f t="shared" si="6"/>
        <v>5836.67</v>
      </c>
      <c r="F66" s="32">
        <f t="shared" si="7"/>
        <v>390.83</v>
      </c>
      <c r="G66" s="18">
        <f t="shared" si="8"/>
        <v>6227.5</v>
      </c>
    </row>
    <row r="67" spans="1:7" x14ac:dyDescent="0.15">
      <c r="A67" s="134" t="s">
        <v>67</v>
      </c>
      <c r="B67" s="134"/>
      <c r="C67" s="134"/>
      <c r="D67" s="31">
        <v>44928</v>
      </c>
      <c r="E67" s="16">
        <f t="shared" si="6"/>
        <v>5836.67</v>
      </c>
      <c r="F67" s="32">
        <f t="shared" si="7"/>
        <v>390.83</v>
      </c>
      <c r="G67" s="18">
        <f t="shared" si="8"/>
        <v>6227.5</v>
      </c>
    </row>
    <row r="68" spans="1:7" x14ac:dyDescent="0.15">
      <c r="A68" s="134" t="s">
        <v>68</v>
      </c>
      <c r="B68" s="134"/>
      <c r="C68" s="134"/>
      <c r="D68" s="31">
        <v>44959</v>
      </c>
      <c r="E68" s="16">
        <f t="shared" si="6"/>
        <v>5836.67</v>
      </c>
      <c r="F68" s="32">
        <f t="shared" si="7"/>
        <v>390.83</v>
      </c>
      <c r="G68" s="18">
        <f t="shared" si="8"/>
        <v>6227.5</v>
      </c>
    </row>
    <row r="69" spans="1:7" x14ac:dyDescent="0.15">
      <c r="A69" s="134" t="s">
        <v>69</v>
      </c>
      <c r="B69" s="134"/>
      <c r="C69" s="134"/>
      <c r="D69" s="31">
        <v>44987</v>
      </c>
      <c r="E69" s="16">
        <f t="shared" si="6"/>
        <v>5836.67</v>
      </c>
      <c r="F69" s="32">
        <f t="shared" si="7"/>
        <v>390.83</v>
      </c>
      <c r="G69" s="18">
        <f t="shared" si="8"/>
        <v>6227.5</v>
      </c>
    </row>
    <row r="70" spans="1:7" x14ac:dyDescent="0.15">
      <c r="A70" s="134" t="s">
        <v>70</v>
      </c>
      <c r="B70" s="134"/>
      <c r="C70" s="134"/>
      <c r="D70" s="31">
        <v>45018</v>
      </c>
      <c r="E70" s="16">
        <f t="shared" si="6"/>
        <v>5836.67</v>
      </c>
      <c r="F70" s="32">
        <f t="shared" si="7"/>
        <v>390.83</v>
      </c>
      <c r="G70" s="18">
        <f t="shared" si="8"/>
        <v>6227.5</v>
      </c>
    </row>
    <row r="71" spans="1:7" x14ac:dyDescent="0.15">
      <c r="A71" s="134" t="s">
        <v>71</v>
      </c>
      <c r="B71" s="134"/>
      <c r="C71" s="134"/>
      <c r="D71" s="31">
        <v>45048</v>
      </c>
      <c r="E71" s="16">
        <f t="shared" si="6"/>
        <v>5836.67</v>
      </c>
      <c r="F71" s="32">
        <f t="shared" si="7"/>
        <v>390.83</v>
      </c>
      <c r="G71" s="18">
        <f t="shared" si="8"/>
        <v>6227.5</v>
      </c>
    </row>
    <row r="72" spans="1:7" x14ac:dyDescent="0.15">
      <c r="A72" s="134" t="s">
        <v>72</v>
      </c>
      <c r="B72" s="134"/>
      <c r="C72" s="134"/>
      <c r="D72" s="31">
        <v>45079</v>
      </c>
      <c r="E72" s="16">
        <f t="shared" si="6"/>
        <v>5836.67</v>
      </c>
      <c r="F72" s="32">
        <f t="shared" si="7"/>
        <v>390.83</v>
      </c>
      <c r="G72" s="18">
        <f t="shared" si="8"/>
        <v>6227.5</v>
      </c>
    </row>
    <row r="73" spans="1:7" x14ac:dyDescent="0.15">
      <c r="A73" s="134" t="s">
        <v>73</v>
      </c>
      <c r="B73" s="134"/>
      <c r="C73" s="134"/>
      <c r="D73" s="31">
        <v>45109</v>
      </c>
      <c r="E73" s="16">
        <f t="shared" si="6"/>
        <v>5836.67</v>
      </c>
      <c r="F73" s="32">
        <f t="shared" si="7"/>
        <v>390.83</v>
      </c>
      <c r="G73" s="18">
        <f t="shared" si="8"/>
        <v>6227.5</v>
      </c>
    </row>
    <row r="74" spans="1:7" x14ac:dyDescent="0.15">
      <c r="A74" s="134" t="s">
        <v>74</v>
      </c>
      <c r="B74" s="134"/>
      <c r="C74" s="134"/>
      <c r="D74" s="31">
        <v>45140</v>
      </c>
      <c r="E74" s="16">
        <f>IF($A$39&lt;VALUE(LEFT(A74,2))," ",IF($A$39=VALUE(LEFT(A74,2)),($G$35-$G$36-$G$34)-($E$40*($A$39-1)),E73))</f>
        <v>5836.67</v>
      </c>
      <c r="F74" s="32">
        <f>IF($A$39&lt;VALUE(LEFT(A74,2))," ",IF($A$39=VALUE(LEFT(A74,2)),$G$34-($F$40*($A$39-1)),F73))</f>
        <v>390.83</v>
      </c>
      <c r="G74" s="18">
        <f>IF($A$39&lt;VALUE(LEFT(A74,2))," ",SUM(E74:F74))</f>
        <v>6227.5</v>
      </c>
    </row>
    <row r="75" spans="1:7" x14ac:dyDescent="0.15">
      <c r="A75" s="134" t="s">
        <v>75</v>
      </c>
      <c r="B75" s="134"/>
      <c r="C75" s="134"/>
      <c r="D75" s="31">
        <v>45171</v>
      </c>
      <c r="E75" s="16">
        <f>IF($A$39&lt;VALUE(LEFT(A75,2))," ",IF($A$39=VALUE(LEFT(A75,2)),($G$35-$G$36-$G$34)-($E$40*($A$39-1)),E74))</f>
        <v>5836.67</v>
      </c>
      <c r="F75" s="32">
        <f>IF($A$39&lt;VALUE(LEFT(A75,2))," ",IF($A$39=VALUE(LEFT(A75,2)),$G$34-($F$40*($A$39-1)),F74))</f>
        <v>390.83</v>
      </c>
      <c r="G75" s="18">
        <f>IF($A$39&lt;VALUE(LEFT(A75,2))," ",SUM(E75:F75))</f>
        <v>6227.5</v>
      </c>
    </row>
    <row r="76" spans="1:7" x14ac:dyDescent="0.15">
      <c r="A76" s="162" t="s">
        <v>164</v>
      </c>
      <c r="B76" s="134"/>
      <c r="C76" s="134"/>
      <c r="D76" s="31">
        <v>45201</v>
      </c>
      <c r="E76" s="16">
        <f t="shared" ref="E76:E87" si="9">IF($A$39&lt;VALUE(LEFT(A76,2))," ",IF($A$39=VALUE(LEFT(A76,2)),($G$35-$G$36-$G$34)-($E$40*($A$39-1)),E75))</f>
        <v>5836.67</v>
      </c>
      <c r="F76" s="32">
        <f t="shared" ref="F76:F87" si="10">IF($A$39&lt;VALUE(LEFT(A76,2))," ",IF($A$39=VALUE(LEFT(A76,2)),$G$34-($F$40*($A$39-1)),F75))</f>
        <v>390.83</v>
      </c>
      <c r="G76" s="18">
        <f t="shared" ref="G76:G87" si="11">IF($A$39&lt;VALUE(LEFT(A76,2))," ",SUM(E76:F76))</f>
        <v>6227.5</v>
      </c>
    </row>
    <row r="77" spans="1:7" x14ac:dyDescent="0.15">
      <c r="A77" s="162" t="s">
        <v>165</v>
      </c>
      <c r="B77" s="134"/>
      <c r="C77" s="134"/>
      <c r="D77" s="31">
        <v>45232</v>
      </c>
      <c r="E77" s="16">
        <f t="shared" si="9"/>
        <v>5836.67</v>
      </c>
      <c r="F77" s="32">
        <f t="shared" si="10"/>
        <v>390.83</v>
      </c>
      <c r="G77" s="18">
        <f t="shared" si="11"/>
        <v>6227.5</v>
      </c>
    </row>
    <row r="78" spans="1:7" x14ac:dyDescent="0.15">
      <c r="A78" s="162" t="s">
        <v>166</v>
      </c>
      <c r="B78" s="134"/>
      <c r="C78" s="134"/>
      <c r="D78" s="31">
        <v>45262</v>
      </c>
      <c r="E78" s="16">
        <f t="shared" si="9"/>
        <v>5836.67</v>
      </c>
      <c r="F78" s="32">
        <f t="shared" si="10"/>
        <v>390.83</v>
      </c>
      <c r="G78" s="18">
        <f t="shared" si="11"/>
        <v>6227.5</v>
      </c>
    </row>
    <row r="79" spans="1:7" x14ac:dyDescent="0.15">
      <c r="A79" s="162" t="s">
        <v>167</v>
      </c>
      <c r="B79" s="134"/>
      <c r="C79" s="134"/>
      <c r="D79" s="31">
        <v>45293</v>
      </c>
      <c r="E79" s="16">
        <f t="shared" si="9"/>
        <v>5836.67</v>
      </c>
      <c r="F79" s="32">
        <f t="shared" si="10"/>
        <v>390.83</v>
      </c>
      <c r="G79" s="18">
        <f t="shared" si="11"/>
        <v>6227.5</v>
      </c>
    </row>
    <row r="80" spans="1:7" x14ac:dyDescent="0.15">
      <c r="A80" s="162" t="s">
        <v>168</v>
      </c>
      <c r="B80" s="134"/>
      <c r="C80" s="134"/>
      <c r="D80" s="31">
        <v>45324</v>
      </c>
      <c r="E80" s="16">
        <f t="shared" si="9"/>
        <v>5836.67</v>
      </c>
      <c r="F80" s="32">
        <f t="shared" si="10"/>
        <v>390.83</v>
      </c>
      <c r="G80" s="18">
        <f t="shared" si="11"/>
        <v>6227.5</v>
      </c>
    </row>
    <row r="81" spans="1:9" x14ac:dyDescent="0.15">
      <c r="A81" s="162" t="s">
        <v>169</v>
      </c>
      <c r="B81" s="134"/>
      <c r="C81" s="134"/>
      <c r="D81" s="31">
        <v>45353</v>
      </c>
      <c r="E81" s="16">
        <f t="shared" si="9"/>
        <v>5836.67</v>
      </c>
      <c r="F81" s="32">
        <f t="shared" si="10"/>
        <v>390.83</v>
      </c>
      <c r="G81" s="18">
        <f t="shared" si="11"/>
        <v>6227.5</v>
      </c>
    </row>
    <row r="82" spans="1:9" x14ac:dyDescent="0.15">
      <c r="A82" s="162" t="s">
        <v>170</v>
      </c>
      <c r="B82" s="134"/>
      <c r="C82" s="134"/>
      <c r="D82" s="31">
        <v>45384</v>
      </c>
      <c r="E82" s="16">
        <f t="shared" si="9"/>
        <v>5836.67</v>
      </c>
      <c r="F82" s="32">
        <f t="shared" si="10"/>
        <v>390.83</v>
      </c>
      <c r="G82" s="18">
        <f t="shared" si="11"/>
        <v>6227.5</v>
      </c>
    </row>
    <row r="83" spans="1:9" x14ac:dyDescent="0.15">
      <c r="A83" s="162" t="s">
        <v>171</v>
      </c>
      <c r="B83" s="134"/>
      <c r="C83" s="134"/>
      <c r="D83" s="31">
        <v>45414</v>
      </c>
      <c r="E83" s="16">
        <f t="shared" si="9"/>
        <v>5836.67</v>
      </c>
      <c r="F83" s="32">
        <f t="shared" si="10"/>
        <v>390.83</v>
      </c>
      <c r="G83" s="18">
        <f t="shared" si="11"/>
        <v>6227.5</v>
      </c>
    </row>
    <row r="84" spans="1:9" x14ac:dyDescent="0.15">
      <c r="A84" s="162" t="s">
        <v>172</v>
      </c>
      <c r="B84" s="134"/>
      <c r="C84" s="134"/>
      <c r="D84" s="31">
        <v>45445</v>
      </c>
      <c r="E84" s="16">
        <f t="shared" si="9"/>
        <v>5836.67</v>
      </c>
      <c r="F84" s="32">
        <f t="shared" si="10"/>
        <v>390.83</v>
      </c>
      <c r="G84" s="18">
        <f t="shared" si="11"/>
        <v>6227.5</v>
      </c>
    </row>
    <row r="85" spans="1:9" x14ac:dyDescent="0.15">
      <c r="A85" s="162" t="s">
        <v>173</v>
      </c>
      <c r="B85" s="134"/>
      <c r="C85" s="134"/>
      <c r="D85" s="31">
        <v>45475</v>
      </c>
      <c r="E85" s="16">
        <f t="shared" si="9"/>
        <v>5836.67</v>
      </c>
      <c r="F85" s="32">
        <f t="shared" si="10"/>
        <v>390.83</v>
      </c>
      <c r="G85" s="18">
        <f t="shared" si="11"/>
        <v>6227.5</v>
      </c>
    </row>
    <row r="86" spans="1:9" x14ac:dyDescent="0.15">
      <c r="A86" s="162" t="s">
        <v>174</v>
      </c>
      <c r="B86" s="134"/>
      <c r="C86" s="134"/>
      <c r="D86" s="31">
        <v>45506</v>
      </c>
      <c r="E86" s="16">
        <f t="shared" si="9"/>
        <v>5836.67</v>
      </c>
      <c r="F86" s="32">
        <f t="shared" si="10"/>
        <v>390.83</v>
      </c>
      <c r="G86" s="18">
        <f t="shared" si="11"/>
        <v>6227.5</v>
      </c>
    </row>
    <row r="87" spans="1:9" x14ac:dyDescent="0.15">
      <c r="A87" s="162" t="s">
        <v>175</v>
      </c>
      <c r="B87" s="134"/>
      <c r="C87" s="134"/>
      <c r="D87" s="31">
        <v>45537</v>
      </c>
      <c r="E87" s="16">
        <f t="shared" si="9"/>
        <v>5836.67</v>
      </c>
      <c r="F87" s="32">
        <f t="shared" si="10"/>
        <v>390.83</v>
      </c>
      <c r="G87" s="18">
        <f t="shared" si="11"/>
        <v>6227.5</v>
      </c>
    </row>
    <row r="88" spans="1:9" x14ac:dyDescent="0.15">
      <c r="B88" s="33"/>
      <c r="E88" s="34"/>
      <c r="F88" s="25"/>
      <c r="G88" s="35"/>
    </row>
    <row r="89" spans="1:9" x14ac:dyDescent="0.15">
      <c r="A89" s="22" t="s">
        <v>92</v>
      </c>
    </row>
    <row r="90" spans="1:9" x14ac:dyDescent="0.15">
      <c r="B90" s="1" t="s">
        <v>93</v>
      </c>
      <c r="F90" s="36">
        <f>D82</f>
        <v>45384</v>
      </c>
    </row>
    <row r="91" spans="1:9" x14ac:dyDescent="0.15">
      <c r="B91" s="1" t="s">
        <v>94</v>
      </c>
      <c r="F91" s="36">
        <f>D87+30</f>
        <v>45567</v>
      </c>
      <c r="G91" s="37">
        <f>ROUND(((G24+G25)*((100-A33)/100))+(G29*(100-A33)/100),2)</f>
        <v>1275680</v>
      </c>
      <c r="I91" s="18"/>
    </row>
    <row r="92" spans="1:9" x14ac:dyDescent="0.15">
      <c r="B92" s="1" t="s">
        <v>95</v>
      </c>
    </row>
    <row r="93" spans="1:9" ht="12.75" customHeight="1" x14ac:dyDescent="0.15"/>
    <row r="94" spans="1:9" x14ac:dyDescent="0.15">
      <c r="A94" s="38" t="s">
        <v>96</v>
      </c>
      <c r="B94" s="39"/>
      <c r="C94" s="39"/>
      <c r="D94" s="39"/>
    </row>
    <row r="95" spans="1:9" x14ac:dyDescent="0.15">
      <c r="A95" s="144" t="s">
        <v>97</v>
      </c>
      <c r="B95" s="144"/>
      <c r="C95" s="144"/>
      <c r="D95" s="144"/>
      <c r="E95" s="144"/>
      <c r="F95" s="144"/>
      <c r="G95" s="144"/>
    </row>
    <row r="96" spans="1:9" x14ac:dyDescent="0.15">
      <c r="A96" s="39" t="s">
        <v>98</v>
      </c>
      <c r="B96" s="39"/>
      <c r="C96" s="39"/>
      <c r="D96" s="39"/>
    </row>
    <row r="97" spans="1:7" x14ac:dyDescent="0.15">
      <c r="A97" s="39" t="s">
        <v>99</v>
      </c>
      <c r="B97" s="39"/>
      <c r="C97" s="39"/>
      <c r="D97" s="39"/>
    </row>
    <row r="98" spans="1:7" x14ac:dyDescent="0.15">
      <c r="A98" s="39" t="s">
        <v>100</v>
      </c>
      <c r="B98" s="39"/>
      <c r="C98" s="39"/>
      <c r="D98" s="39"/>
    </row>
    <row r="99" spans="1:7" x14ac:dyDescent="0.15">
      <c r="A99" s="126" t="s">
        <v>101</v>
      </c>
      <c r="B99" s="39"/>
      <c r="C99" s="39"/>
      <c r="D99" s="39"/>
    </row>
    <row r="100" spans="1:7" x14ac:dyDescent="0.15">
      <c r="A100" s="126" t="s">
        <v>102</v>
      </c>
      <c r="B100" s="39"/>
      <c r="C100" s="39"/>
      <c r="D100" s="39"/>
    </row>
    <row r="101" spans="1:7" x14ac:dyDescent="0.15">
      <c r="A101" s="126" t="s">
        <v>103</v>
      </c>
      <c r="B101" s="39"/>
      <c r="C101" s="39"/>
      <c r="D101" s="39"/>
    </row>
    <row r="102" spans="1:7" x14ac:dyDescent="0.15">
      <c r="A102" s="126" t="s">
        <v>104</v>
      </c>
      <c r="B102" s="39"/>
      <c r="C102" s="39"/>
      <c r="D102" s="39"/>
    </row>
    <row r="103" spans="1:7" x14ac:dyDescent="0.15">
      <c r="A103" s="126" t="s">
        <v>105</v>
      </c>
      <c r="B103" s="39"/>
      <c r="C103" s="39"/>
      <c r="D103" s="39"/>
    </row>
    <row r="104" spans="1:7" x14ac:dyDescent="0.15">
      <c r="A104" s="144" t="s">
        <v>106</v>
      </c>
      <c r="B104" s="144"/>
      <c r="C104" s="144"/>
      <c r="D104" s="144"/>
      <c r="E104" s="144"/>
      <c r="F104" s="144"/>
      <c r="G104" s="144"/>
    </row>
    <row r="105" spans="1:7" ht="12.75" customHeight="1" x14ac:dyDescent="0.15"/>
    <row r="106" spans="1:7" ht="12.75" customHeight="1" x14ac:dyDescent="0.15"/>
    <row r="107" spans="1:7" x14ac:dyDescent="0.15">
      <c r="A107" s="1" t="s">
        <v>107</v>
      </c>
      <c r="E107" s="1" t="s">
        <v>108</v>
      </c>
    </row>
    <row r="108" spans="1:7" ht="12.75" customHeight="1" x14ac:dyDescent="0.15"/>
    <row r="109" spans="1:7" ht="12.75" customHeight="1" x14ac:dyDescent="0.15"/>
    <row r="110" spans="1:7" x14ac:dyDescent="0.15">
      <c r="A110" s="40"/>
      <c r="B110" s="40"/>
      <c r="C110" s="40"/>
      <c r="E110" s="40"/>
      <c r="F110" s="40"/>
      <c r="G110" s="40"/>
    </row>
    <row r="111" spans="1:7" x14ac:dyDescent="0.15">
      <c r="A111" s="1" t="s">
        <v>109</v>
      </c>
      <c r="E111" s="1" t="s">
        <v>109</v>
      </c>
    </row>
    <row r="112" spans="1:7" x14ac:dyDescent="0.15">
      <c r="A112" s="1" t="s">
        <v>110</v>
      </c>
      <c r="E112" s="1" t="s">
        <v>111</v>
      </c>
    </row>
    <row r="113" spans="1:3" ht="12.75" customHeight="1" x14ac:dyDescent="0.15"/>
    <row r="114" spans="1:3" ht="12.75" customHeight="1" x14ac:dyDescent="0.15"/>
    <row r="115" spans="1:3" x14ac:dyDescent="0.15">
      <c r="A115" s="1" t="s">
        <v>112</v>
      </c>
    </row>
    <row r="116" spans="1:3" ht="12.75" customHeight="1" x14ac:dyDescent="0.15"/>
    <row r="117" spans="1:3" ht="12.75" customHeight="1" x14ac:dyDescent="0.15"/>
    <row r="118" spans="1:3" x14ac:dyDescent="0.15">
      <c r="A118" s="40"/>
      <c r="B118" s="40"/>
      <c r="C118" s="40"/>
    </row>
    <row r="119" spans="1:3" x14ac:dyDescent="0.15">
      <c r="A119" s="1" t="s">
        <v>109</v>
      </c>
    </row>
    <row r="120" spans="1:3" x14ac:dyDescent="0.15">
      <c r="A120" s="1" t="s">
        <v>113</v>
      </c>
    </row>
  </sheetData>
  <mergeCells count="57">
    <mergeCell ref="J2:M6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104:G104"/>
    <mergeCell ref="A87:C87"/>
    <mergeCell ref="A95:G95"/>
  </mergeCells>
  <conditionalFormatting sqref="B11 B25">
    <cfRule type="expression" dxfId="60" priority="2" stopIfTrue="1">
      <formula>G11=0</formula>
    </cfRule>
  </conditionalFormatting>
  <conditionalFormatting sqref="A41:C48">
    <cfRule type="expression" dxfId="59" priority="3" stopIfTrue="1">
      <formula>VALUE(NoDPSchedule)&lt;VALUE(LEFT(A41,1))</formula>
    </cfRule>
  </conditionalFormatting>
  <conditionalFormatting sqref="A49:C87">
    <cfRule type="expression" dxfId="58" priority="4" stopIfTrue="1">
      <formula>VALUE(NoDPSchedule)&lt;VALUE(LEFT(A49,2))</formula>
    </cfRule>
  </conditionalFormatting>
  <conditionalFormatting sqref="G11 G25">
    <cfRule type="expression" dxfId="57" priority="5" stopIfTrue="1">
      <formula>G11=0</formula>
    </cfRule>
  </conditionalFormatting>
  <conditionalFormatting sqref="D4">
    <cfRule type="expression" dxfId="56" priority="1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52" orientation="portrait" horizontalDpi="4294967294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20"/>
  <sheetViews>
    <sheetView topLeftCell="A69" workbookViewId="0">
      <selection activeCell="N90" sqref="N90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5" width="12.33203125" style="1"/>
    <col min="6" max="6" width="39.1640625" style="1" customWidth="1"/>
    <col min="7" max="7" width="18" style="1" customWidth="1"/>
    <col min="8" max="8" width="13.6640625" style="1" hidden="1" customWidth="1"/>
    <col min="9" max="9" width="13.33203125" style="1" hidden="1" customWidth="1"/>
    <col min="10" max="11" width="13.6640625" style="1" hidden="1" customWidth="1"/>
    <col min="12" max="12" width="0" style="1" hidden="1" customWidth="1"/>
    <col min="13" max="16384" width="12.33203125" style="1"/>
  </cols>
  <sheetData>
    <row r="1" spans="1:12" ht="14.25" customHeight="1" thickTop="1" x14ac:dyDescent="0.2">
      <c r="A1" s="2"/>
      <c r="B1" s="135" t="s">
        <v>0</v>
      </c>
      <c r="C1" s="135"/>
      <c r="D1" s="135"/>
      <c r="E1" s="135"/>
      <c r="F1" s="135"/>
      <c r="G1" s="3"/>
    </row>
    <row r="2" spans="1:12" ht="14.25" customHeight="1" x14ac:dyDescent="0.15">
      <c r="A2" s="4"/>
      <c r="B2" s="136" t="s">
        <v>1</v>
      </c>
      <c r="C2" s="136"/>
      <c r="D2" s="136"/>
      <c r="E2" s="136"/>
      <c r="F2" s="136"/>
      <c r="G2" s="5"/>
    </row>
    <row r="3" spans="1:12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2" ht="13.5" customHeight="1" thickBot="1" x14ac:dyDescent="0.2">
      <c r="A4" s="6">
        <f>IF(A39&lt;=12,12,A39)</f>
        <v>48</v>
      </c>
      <c r="B4" s="7"/>
      <c r="C4" s="7"/>
      <c r="D4" s="96" t="s">
        <v>115</v>
      </c>
      <c r="E4" s="7"/>
      <c r="F4" s="7"/>
      <c r="G4" s="8"/>
    </row>
    <row r="5" spans="1:12" ht="13.5" customHeight="1" thickTop="1" x14ac:dyDescent="0.15">
      <c r="G5" s="9">
        <v>24</v>
      </c>
    </row>
    <row r="6" spans="1:12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  <c r="H6" s="93"/>
      <c r="I6" s="93"/>
      <c r="J6" s="93"/>
      <c r="K6" s="93"/>
      <c r="L6" s="94"/>
    </row>
    <row r="7" spans="1:12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  <c r="I7" s="97"/>
    </row>
    <row r="8" spans="1:12" ht="12.75" customHeight="1" x14ac:dyDescent="0.15">
      <c r="A8" s="41"/>
      <c r="B8" s="41"/>
      <c r="C8" s="41"/>
      <c r="D8" s="41"/>
      <c r="E8" s="41"/>
      <c r="F8" s="41"/>
      <c r="G8" s="41"/>
      <c r="J8" s="97"/>
    </row>
    <row r="9" spans="1:12" ht="12.75" customHeight="1" x14ac:dyDescent="0.15">
      <c r="A9" s="41"/>
      <c r="B9" s="41"/>
      <c r="C9" s="41"/>
      <c r="D9" s="41"/>
      <c r="E9" s="41"/>
      <c r="F9" s="41"/>
      <c r="G9" s="41"/>
    </row>
    <row r="10" spans="1:12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  <c r="H10" s="97">
        <f>G10-G11</f>
        <v>1340000</v>
      </c>
      <c r="I10" s="97">
        <f>205000*38.2</f>
        <v>7831000.0000000009</v>
      </c>
      <c r="J10" s="97"/>
    </row>
    <row r="11" spans="1:12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160800</v>
      </c>
      <c r="H11" s="18"/>
      <c r="J11" s="100">
        <f>G10-G11</f>
        <v>1340000</v>
      </c>
      <c r="K11" s="100">
        <f>G10-G11</f>
        <v>1340000</v>
      </c>
    </row>
    <row r="12" spans="1:12" hidden="1" x14ac:dyDescent="0.15">
      <c r="A12" s="17">
        <v>0</v>
      </c>
      <c r="B12" s="1" t="s">
        <v>131</v>
      </c>
      <c r="D12" s="22" t="s">
        <v>132</v>
      </c>
      <c r="F12" s="15"/>
      <c r="G12" s="18"/>
      <c r="I12" s="18"/>
      <c r="J12" s="18"/>
    </row>
    <row r="13" spans="1:12" hidden="1" x14ac:dyDescent="0.15">
      <c r="B13" s="1" t="s">
        <v>14</v>
      </c>
      <c r="G13" s="18">
        <v>0</v>
      </c>
      <c r="I13" s="18"/>
      <c r="J13" s="18"/>
    </row>
    <row r="14" spans="1:12" hidden="1" x14ac:dyDescent="0.15">
      <c r="B14" s="1" t="s">
        <v>15</v>
      </c>
      <c r="G14" s="18">
        <v>0</v>
      </c>
      <c r="I14" s="18"/>
      <c r="J14" s="18"/>
    </row>
    <row r="15" spans="1:12" ht="14" hidden="1" x14ac:dyDescent="0.2">
      <c r="B15" s="1" t="s">
        <v>16</v>
      </c>
      <c r="D15" s="38" t="s">
        <v>120</v>
      </c>
      <c r="E15"/>
      <c r="F15"/>
      <c r="G15" s="18"/>
      <c r="H15" s="100"/>
      <c r="I15" s="18"/>
      <c r="L15" s="18">
        <f>SUM(G15:G16)</f>
        <v>0</v>
      </c>
    </row>
    <row r="16" spans="1:12" hidden="1" x14ac:dyDescent="0.15">
      <c r="B16" s="1" t="s">
        <v>131</v>
      </c>
      <c r="D16" s="22" t="s">
        <v>132</v>
      </c>
      <c r="F16" s="15"/>
      <c r="G16" s="18"/>
      <c r="I16" s="18"/>
    </row>
    <row r="17" spans="1:10" hidden="1" x14ac:dyDescent="0.15">
      <c r="B17" s="1" t="s">
        <v>19</v>
      </c>
      <c r="G17" s="18">
        <v>0</v>
      </c>
      <c r="I17" s="18"/>
    </row>
    <row r="18" spans="1:10" hidden="1" x14ac:dyDescent="0.15">
      <c r="B18" s="1" t="s">
        <v>20</v>
      </c>
      <c r="G18" s="18">
        <v>0</v>
      </c>
      <c r="H18" s="18"/>
      <c r="I18" s="18"/>
      <c r="J18" s="18"/>
    </row>
    <row r="19" spans="1:10" hidden="1" x14ac:dyDescent="0.15">
      <c r="B19" s="1" t="s">
        <v>21</v>
      </c>
      <c r="G19" s="18">
        <v>0</v>
      </c>
      <c r="J19" s="18"/>
    </row>
    <row r="20" spans="1:10" hidden="1" x14ac:dyDescent="0.15">
      <c r="B20" s="1" t="s">
        <v>22</v>
      </c>
      <c r="G20" s="18">
        <v>0</v>
      </c>
      <c r="J20" s="18"/>
    </row>
    <row r="21" spans="1:10" hidden="1" x14ac:dyDescent="0.15">
      <c r="B21" s="1" t="s">
        <v>23</v>
      </c>
      <c r="G21" s="18">
        <v>0</v>
      </c>
      <c r="J21" s="18"/>
    </row>
    <row r="22" spans="1:10" hidden="1" x14ac:dyDescent="0.15">
      <c r="B22" s="1" t="s">
        <v>24</v>
      </c>
      <c r="G22" s="18">
        <v>0</v>
      </c>
      <c r="J22" s="18"/>
    </row>
    <row r="23" spans="1:10" ht="13.5" customHeight="1" thickBot="1" x14ac:dyDescent="0.2">
      <c r="F23" s="15"/>
      <c r="G23" s="19"/>
      <c r="J23" s="18"/>
    </row>
    <row r="24" spans="1:10" ht="13.5" customHeight="1" thickTop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1340000</v>
      </c>
    </row>
    <row r="25" spans="1:10" x14ac:dyDescent="0.15">
      <c r="A25" s="1" t="s">
        <v>26</v>
      </c>
      <c r="B25" s="1" t="s">
        <v>13</v>
      </c>
      <c r="G25" s="18">
        <f>ROUND(IF(ISERROR(FIND("PARKING",Model,1)),IF(G24&gt;3199200,G24*12%,0),G24*12%),2)</f>
        <v>160800</v>
      </c>
      <c r="I25" s="18"/>
    </row>
    <row r="26" spans="1:10" hidden="1" x14ac:dyDescent="0.15">
      <c r="A26" s="17">
        <v>7</v>
      </c>
      <c r="B26" s="1" t="s">
        <v>27</v>
      </c>
      <c r="G26" s="18">
        <f>ROUND(G24*(A26/100),2)</f>
        <v>93800</v>
      </c>
    </row>
    <row r="27" spans="1:10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idden="1" x14ac:dyDescent="0.15">
      <c r="A28" s="17"/>
      <c r="B28" s="1" t="s">
        <v>29</v>
      </c>
      <c r="G28" s="18">
        <v>0</v>
      </c>
    </row>
    <row r="29" spans="1:10" ht="13.5" customHeight="1" thickBot="1" x14ac:dyDescent="0.2">
      <c r="A29" s="17"/>
      <c r="B29" s="1" t="s">
        <v>27</v>
      </c>
      <c r="G29" s="18">
        <f>ROUND(SUM(G26,G28,F27),2)</f>
        <v>93800</v>
      </c>
    </row>
    <row r="30" spans="1:10" ht="13.5" customHeight="1" thickTop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1594600</v>
      </c>
    </row>
    <row r="31" spans="1:10" ht="12.75" customHeight="1" x14ac:dyDescent="0.15"/>
    <row r="32" spans="1:10" x14ac:dyDescent="0.15">
      <c r="A32" s="22" t="s">
        <v>31</v>
      </c>
    </row>
    <row r="33" spans="1:10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300160</v>
      </c>
      <c r="J33" s="18"/>
    </row>
    <row r="34" spans="1:10" ht="13.5" customHeight="1" thickBot="1" x14ac:dyDescent="0.2">
      <c r="A34" s="22"/>
      <c r="B34" s="1" t="s">
        <v>32</v>
      </c>
      <c r="G34" s="18">
        <f>ROUND(G29*(A33/100),2)</f>
        <v>18760</v>
      </c>
      <c r="J34" s="24"/>
    </row>
    <row r="35" spans="1:10" ht="13.5" customHeight="1" thickTop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318920</v>
      </c>
    </row>
    <row r="36" spans="1:10" ht="13.5" customHeight="1" thickBot="1" x14ac:dyDescent="0.2">
      <c r="A36" s="1" t="s">
        <v>12</v>
      </c>
      <c r="B36" s="1" t="s">
        <v>34</v>
      </c>
      <c r="F36" s="25">
        <f ca="1">NOW()</f>
        <v>44075.451322222223</v>
      </c>
      <c r="G36" s="18">
        <v>20000</v>
      </c>
    </row>
    <row r="37" spans="1:10" ht="13.5" customHeight="1" thickTop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298920</v>
      </c>
    </row>
    <row r="38" spans="1:10" x14ac:dyDescent="0.15">
      <c r="A38" s="17">
        <v>0</v>
      </c>
    </row>
    <row r="39" spans="1:10" ht="25.5" customHeight="1" x14ac:dyDescent="0.15">
      <c r="A39" s="27">
        <v>48</v>
      </c>
      <c r="B39" s="142" t="s">
        <v>36</v>
      </c>
      <c r="C39" s="142"/>
      <c r="D39" s="125" t="s">
        <v>37</v>
      </c>
      <c r="E39" s="28" t="s">
        <v>38</v>
      </c>
      <c r="F39" s="29" t="s">
        <v>27</v>
      </c>
      <c r="G39" s="30" t="s">
        <v>39</v>
      </c>
    </row>
    <row r="40" spans="1:10" x14ac:dyDescent="0.15">
      <c r="A40" s="134" t="s">
        <v>40</v>
      </c>
      <c r="B40" s="134"/>
      <c r="C40" s="134"/>
      <c r="D40" s="106">
        <f ca="1">F36+30</f>
        <v>44105.451322222223</v>
      </c>
      <c r="E40" s="16">
        <f>ROUND((G35-G36-G34)/A39,2)</f>
        <v>5836.67</v>
      </c>
      <c r="F40" s="32">
        <f>ROUND(SUM(G34:G34)/A39,2)</f>
        <v>390.83</v>
      </c>
      <c r="G40" s="18">
        <f>SUM(E40:F40)</f>
        <v>6227.5</v>
      </c>
    </row>
    <row r="41" spans="1:10" x14ac:dyDescent="0.15">
      <c r="A41" s="134" t="s">
        <v>41</v>
      </c>
      <c r="B41" s="134"/>
      <c r="C41" s="134"/>
      <c r="D41" s="31">
        <v>44137</v>
      </c>
      <c r="E41" s="16">
        <f>IF($A$39&lt;VALUE(LEFT(A41,1))," ",IF($A$39=VALUE(LEFT(A41,1)),($G$35-$G$36-$G$34)-($E$40*($A$39-1)),E40))</f>
        <v>5836.67</v>
      </c>
      <c r="F41" s="32">
        <f>IF($A$39&lt;VALUE(LEFT(A41,1))," ",IF($A$39=VALUE(LEFT(A41,1)),$G$34-($F$40*($A$39-1)),F40))</f>
        <v>390.83</v>
      </c>
      <c r="G41" s="18">
        <f>IF($A$39&lt;VALUE(LEFT(A41,1))," ",SUM(E41:F41))</f>
        <v>6227.5</v>
      </c>
    </row>
    <row r="42" spans="1:10" x14ac:dyDescent="0.15">
      <c r="A42" s="134" t="s">
        <v>42</v>
      </c>
      <c r="B42" s="134"/>
      <c r="C42" s="134"/>
      <c r="D42" s="31">
        <v>44167</v>
      </c>
      <c r="E42" s="16">
        <f t="shared" ref="E42:E48" si="0">IF($A$39&lt;VALUE(LEFT(A42,1))," ",IF($A$39=VALUE(LEFT(A42,1)),($G$35-$G$36-$G$34)-($E$40*($A$39-1)),E41))</f>
        <v>5836.67</v>
      </c>
      <c r="F42" s="32">
        <f t="shared" ref="F42:F48" si="1">IF($A$39&lt;VALUE(LEFT(A42,1))," ",IF($A$39=VALUE(LEFT(A42,1)),$G$34-($F$40*($A$39-1)),F41))</f>
        <v>390.83</v>
      </c>
      <c r="G42" s="18">
        <f t="shared" ref="G42:G48" si="2">IF($A$39&lt;VALUE(LEFT(A42,1))," ",SUM(E42:F42))</f>
        <v>6227.5</v>
      </c>
    </row>
    <row r="43" spans="1:10" x14ac:dyDescent="0.15">
      <c r="A43" s="134" t="s">
        <v>43</v>
      </c>
      <c r="B43" s="134"/>
      <c r="C43" s="134"/>
      <c r="D43" s="31">
        <v>44198</v>
      </c>
      <c r="E43" s="16">
        <f t="shared" si="0"/>
        <v>5836.67</v>
      </c>
      <c r="F43" s="32">
        <f t="shared" si="1"/>
        <v>390.83</v>
      </c>
      <c r="G43" s="18">
        <f t="shared" si="2"/>
        <v>6227.5</v>
      </c>
    </row>
    <row r="44" spans="1:10" x14ac:dyDescent="0.15">
      <c r="A44" s="134" t="s">
        <v>44</v>
      </c>
      <c r="B44" s="134"/>
      <c r="C44" s="134"/>
      <c r="D44" s="31">
        <v>44229</v>
      </c>
      <c r="E44" s="16">
        <f t="shared" si="0"/>
        <v>5836.67</v>
      </c>
      <c r="F44" s="32">
        <f t="shared" si="1"/>
        <v>390.83</v>
      </c>
      <c r="G44" s="18">
        <f t="shared" si="2"/>
        <v>6227.5</v>
      </c>
    </row>
    <row r="45" spans="1:10" x14ac:dyDescent="0.15">
      <c r="A45" s="134" t="s">
        <v>45</v>
      </c>
      <c r="B45" s="134"/>
      <c r="C45" s="134"/>
      <c r="D45" s="31">
        <v>44257</v>
      </c>
      <c r="E45" s="16">
        <f t="shared" si="0"/>
        <v>5836.67</v>
      </c>
      <c r="F45" s="32">
        <f t="shared" si="1"/>
        <v>390.83</v>
      </c>
      <c r="G45" s="18">
        <f t="shared" si="2"/>
        <v>6227.5</v>
      </c>
    </row>
    <row r="46" spans="1:10" x14ac:dyDescent="0.15">
      <c r="A46" s="134" t="s">
        <v>46</v>
      </c>
      <c r="B46" s="134"/>
      <c r="C46" s="134"/>
      <c r="D46" s="31">
        <v>44288</v>
      </c>
      <c r="E46" s="16">
        <f t="shared" si="0"/>
        <v>5836.67</v>
      </c>
      <c r="F46" s="32">
        <f t="shared" si="1"/>
        <v>390.83</v>
      </c>
      <c r="G46" s="18">
        <f t="shared" si="2"/>
        <v>6227.5</v>
      </c>
    </row>
    <row r="47" spans="1:10" x14ac:dyDescent="0.15">
      <c r="A47" s="134" t="s">
        <v>47</v>
      </c>
      <c r="B47" s="134"/>
      <c r="C47" s="134"/>
      <c r="D47" s="31">
        <v>44318</v>
      </c>
      <c r="E47" s="16">
        <f t="shared" si="0"/>
        <v>5836.67</v>
      </c>
      <c r="F47" s="32">
        <f t="shared" si="1"/>
        <v>390.83</v>
      </c>
      <c r="G47" s="18">
        <f t="shared" si="2"/>
        <v>6227.5</v>
      </c>
    </row>
    <row r="48" spans="1:10" x14ac:dyDescent="0.15">
      <c r="A48" s="134" t="s">
        <v>48</v>
      </c>
      <c r="B48" s="134"/>
      <c r="C48" s="134"/>
      <c r="D48" s="31">
        <v>44349</v>
      </c>
      <c r="E48" s="16">
        <f t="shared" si="0"/>
        <v>5836.67</v>
      </c>
      <c r="F48" s="32">
        <f t="shared" si="1"/>
        <v>390.83</v>
      </c>
      <c r="G48" s="18">
        <f t="shared" si="2"/>
        <v>6227.5</v>
      </c>
    </row>
    <row r="49" spans="1:7" x14ac:dyDescent="0.15">
      <c r="A49" s="134" t="s">
        <v>49</v>
      </c>
      <c r="B49" s="134"/>
      <c r="C49" s="134"/>
      <c r="D49" s="31">
        <v>44379</v>
      </c>
      <c r="E49" s="16">
        <f>IF($A$39&lt;VALUE(LEFT(A49,2))," ",IF($A$39=VALUE(LEFT(A49,2)),($G$35-$G$36-$G$34)-($E$40*($A$39-1)),E48))</f>
        <v>5836.67</v>
      </c>
      <c r="F49" s="32">
        <f>IF($A$39&lt;VALUE(LEFT(A49,2))," ",IF($A$39=VALUE(LEFT(A49,2)),$G$34-($F$40*($A$39-1)),F48))</f>
        <v>390.83</v>
      </c>
      <c r="G49" s="18">
        <f>IF($A$39&lt;VALUE(LEFT(A49,2))," ",SUM(E49:F49))</f>
        <v>6227.5</v>
      </c>
    </row>
    <row r="50" spans="1:7" x14ac:dyDescent="0.15">
      <c r="A50" s="134" t="s">
        <v>50</v>
      </c>
      <c r="B50" s="134"/>
      <c r="C50" s="134"/>
      <c r="D50" s="31">
        <v>44410</v>
      </c>
      <c r="E50" s="16">
        <f t="shared" ref="E50:E62" si="3">IF($A$39&lt;VALUE(LEFT(A50,2))," ",IF($A$39=VALUE(LEFT(A50,2)),($G$35-$G$36-$G$34)-($E$40*($A$39-1)),E49))</f>
        <v>5836.67</v>
      </c>
      <c r="F50" s="32">
        <f t="shared" ref="F50:F62" si="4">IF($A$39&lt;VALUE(LEFT(A50,2))," ",IF($A$39=VALUE(LEFT(A50,2)),$G$34-($F$40*($A$39-1)),F49))</f>
        <v>390.83</v>
      </c>
      <c r="G50" s="18">
        <f t="shared" ref="G50:G62" si="5">IF($A$39&lt;VALUE(LEFT(A50,2))," ",SUM(E50:F50))</f>
        <v>6227.5</v>
      </c>
    </row>
    <row r="51" spans="1:7" x14ac:dyDescent="0.15">
      <c r="A51" s="134" t="s">
        <v>51</v>
      </c>
      <c r="B51" s="134"/>
      <c r="C51" s="134"/>
      <c r="D51" s="31">
        <v>44441</v>
      </c>
      <c r="E51" s="16">
        <f t="shared" si="3"/>
        <v>5836.67</v>
      </c>
      <c r="F51" s="32">
        <f t="shared" si="4"/>
        <v>390.83</v>
      </c>
      <c r="G51" s="18">
        <f t="shared" si="5"/>
        <v>6227.5</v>
      </c>
    </row>
    <row r="52" spans="1:7" x14ac:dyDescent="0.15">
      <c r="A52" s="134" t="s">
        <v>52</v>
      </c>
      <c r="B52" s="134"/>
      <c r="C52" s="134"/>
      <c r="D52" s="31">
        <v>44471</v>
      </c>
      <c r="E52" s="16">
        <f t="shared" si="3"/>
        <v>5836.67</v>
      </c>
      <c r="F52" s="32">
        <f t="shared" si="4"/>
        <v>390.83</v>
      </c>
      <c r="G52" s="18">
        <f t="shared" si="5"/>
        <v>6227.5</v>
      </c>
    </row>
    <row r="53" spans="1:7" x14ac:dyDescent="0.15">
      <c r="A53" s="134" t="s">
        <v>53</v>
      </c>
      <c r="B53" s="134"/>
      <c r="C53" s="134"/>
      <c r="D53" s="31">
        <v>44502</v>
      </c>
      <c r="E53" s="16">
        <f t="shared" si="3"/>
        <v>5836.67</v>
      </c>
      <c r="F53" s="32">
        <f t="shared" si="4"/>
        <v>390.83</v>
      </c>
      <c r="G53" s="18">
        <f t="shared" si="5"/>
        <v>6227.5</v>
      </c>
    </row>
    <row r="54" spans="1:7" x14ac:dyDescent="0.15">
      <c r="A54" s="134" t="s">
        <v>54</v>
      </c>
      <c r="B54" s="134"/>
      <c r="C54" s="134"/>
      <c r="D54" s="31">
        <v>44532</v>
      </c>
      <c r="E54" s="16">
        <f t="shared" si="3"/>
        <v>5836.67</v>
      </c>
      <c r="F54" s="32">
        <f t="shared" si="4"/>
        <v>390.83</v>
      </c>
      <c r="G54" s="18">
        <f t="shared" si="5"/>
        <v>6227.5</v>
      </c>
    </row>
    <row r="55" spans="1:7" x14ac:dyDescent="0.15">
      <c r="A55" s="134" t="s">
        <v>55</v>
      </c>
      <c r="B55" s="134"/>
      <c r="C55" s="134"/>
      <c r="D55" s="31">
        <v>44563</v>
      </c>
      <c r="E55" s="16">
        <f t="shared" si="3"/>
        <v>5836.67</v>
      </c>
      <c r="F55" s="32">
        <f t="shared" si="4"/>
        <v>390.83</v>
      </c>
      <c r="G55" s="18">
        <f t="shared" si="5"/>
        <v>6227.5</v>
      </c>
    </row>
    <row r="56" spans="1:7" x14ac:dyDescent="0.15">
      <c r="A56" s="134" t="s">
        <v>56</v>
      </c>
      <c r="B56" s="134"/>
      <c r="C56" s="134"/>
      <c r="D56" s="31">
        <v>44594</v>
      </c>
      <c r="E56" s="16">
        <f t="shared" si="3"/>
        <v>5836.67</v>
      </c>
      <c r="F56" s="32">
        <f t="shared" si="4"/>
        <v>390.83</v>
      </c>
      <c r="G56" s="18">
        <f t="shared" si="5"/>
        <v>6227.5</v>
      </c>
    </row>
    <row r="57" spans="1:7" x14ac:dyDescent="0.15">
      <c r="A57" s="134" t="s">
        <v>57</v>
      </c>
      <c r="B57" s="134"/>
      <c r="C57" s="134"/>
      <c r="D57" s="31">
        <v>44622</v>
      </c>
      <c r="E57" s="16">
        <f t="shared" si="3"/>
        <v>5836.67</v>
      </c>
      <c r="F57" s="32">
        <f t="shared" si="4"/>
        <v>390.83</v>
      </c>
      <c r="G57" s="18">
        <f t="shared" si="5"/>
        <v>6227.5</v>
      </c>
    </row>
    <row r="58" spans="1:7" x14ac:dyDescent="0.15">
      <c r="A58" s="134" t="s">
        <v>58</v>
      </c>
      <c r="B58" s="134"/>
      <c r="C58" s="134"/>
      <c r="D58" s="31">
        <v>44653</v>
      </c>
      <c r="E58" s="16">
        <f t="shared" si="3"/>
        <v>5836.67</v>
      </c>
      <c r="F58" s="32">
        <f t="shared" si="4"/>
        <v>390.83</v>
      </c>
      <c r="G58" s="18">
        <f t="shared" si="5"/>
        <v>6227.5</v>
      </c>
    </row>
    <row r="59" spans="1:7" x14ac:dyDescent="0.15">
      <c r="A59" s="134" t="s">
        <v>59</v>
      </c>
      <c r="B59" s="134"/>
      <c r="C59" s="134"/>
      <c r="D59" s="31">
        <v>44683</v>
      </c>
      <c r="E59" s="16">
        <f t="shared" si="3"/>
        <v>5836.67</v>
      </c>
      <c r="F59" s="32">
        <f t="shared" si="4"/>
        <v>390.83</v>
      </c>
      <c r="G59" s="18">
        <f t="shared" si="5"/>
        <v>6227.5</v>
      </c>
    </row>
    <row r="60" spans="1:7" x14ac:dyDescent="0.15">
      <c r="A60" s="134" t="s">
        <v>60</v>
      </c>
      <c r="B60" s="134"/>
      <c r="C60" s="134"/>
      <c r="D60" s="31">
        <v>44714</v>
      </c>
      <c r="E60" s="16">
        <f t="shared" si="3"/>
        <v>5836.67</v>
      </c>
      <c r="F60" s="32">
        <f t="shared" si="4"/>
        <v>390.83</v>
      </c>
      <c r="G60" s="18">
        <f t="shared" si="5"/>
        <v>6227.5</v>
      </c>
    </row>
    <row r="61" spans="1:7" x14ac:dyDescent="0.15">
      <c r="A61" s="134" t="s">
        <v>61</v>
      </c>
      <c r="B61" s="134"/>
      <c r="C61" s="134"/>
      <c r="D61" s="31">
        <v>44744</v>
      </c>
      <c r="E61" s="16">
        <f t="shared" si="3"/>
        <v>5836.67</v>
      </c>
      <c r="F61" s="32">
        <f t="shared" si="4"/>
        <v>390.83</v>
      </c>
      <c r="G61" s="18">
        <f t="shared" si="5"/>
        <v>6227.5</v>
      </c>
    </row>
    <row r="62" spans="1:7" x14ac:dyDescent="0.15">
      <c r="A62" s="134" t="s">
        <v>62</v>
      </c>
      <c r="B62" s="134"/>
      <c r="C62" s="134"/>
      <c r="D62" s="31">
        <v>44775</v>
      </c>
      <c r="E62" s="16">
        <f t="shared" si="3"/>
        <v>5836.67</v>
      </c>
      <c r="F62" s="32">
        <f t="shared" si="4"/>
        <v>390.83</v>
      </c>
      <c r="G62" s="18">
        <f t="shared" si="5"/>
        <v>6227.5</v>
      </c>
    </row>
    <row r="63" spans="1:7" x14ac:dyDescent="0.15">
      <c r="A63" s="134" t="s">
        <v>63</v>
      </c>
      <c r="B63" s="134"/>
      <c r="C63" s="134"/>
      <c r="D63" s="31">
        <v>44806</v>
      </c>
      <c r="E63" s="16">
        <f>IF($A$39&lt;VALUE(LEFT(A63,2))," ",IF($A$39=VALUE(LEFT(A63,2)),($G$35-$G$36-$G$34)-($E$40*($A$39-1)),E62))</f>
        <v>5836.67</v>
      </c>
      <c r="F63" s="32">
        <f>IF($A$39&lt;VALUE(LEFT(A63,2))," ",IF($A$39=VALUE(LEFT(A63,2)),$G$34-($F$40*($A$39-1)),F62))</f>
        <v>390.83</v>
      </c>
      <c r="G63" s="18">
        <f>IF($A$39&lt;VALUE(LEFT(A63,2))," ",SUM(E63:F63))</f>
        <v>6227.5</v>
      </c>
    </row>
    <row r="64" spans="1:7" x14ac:dyDescent="0.15">
      <c r="A64" s="134" t="s">
        <v>64</v>
      </c>
      <c r="B64" s="134"/>
      <c r="C64" s="134"/>
      <c r="D64" s="31">
        <v>44836</v>
      </c>
      <c r="E64" s="16">
        <f t="shared" ref="E64:E73" si="6">IF($A$39&lt;VALUE(LEFT(A64,2))," ",IF($A$39=VALUE(LEFT(A64,2)),($G$35-$G$36-$G$34)-($E$40*($A$39-1)),E63))</f>
        <v>5836.67</v>
      </c>
      <c r="F64" s="32">
        <f t="shared" ref="F64:F73" si="7">IF($A$39&lt;VALUE(LEFT(A64,2))," ",IF($A$39=VALUE(LEFT(A64,2)),$G$34-($F$40*($A$39-1)),F63))</f>
        <v>390.83</v>
      </c>
      <c r="G64" s="18">
        <f t="shared" ref="G64:G73" si="8">IF($A$39&lt;VALUE(LEFT(A64,2))," ",SUM(E64:F64))</f>
        <v>6227.5</v>
      </c>
    </row>
    <row r="65" spans="1:7" x14ac:dyDescent="0.15">
      <c r="A65" s="134" t="s">
        <v>65</v>
      </c>
      <c r="B65" s="134"/>
      <c r="C65" s="134"/>
      <c r="D65" s="31">
        <v>44867</v>
      </c>
      <c r="E65" s="16">
        <f t="shared" si="6"/>
        <v>5836.67</v>
      </c>
      <c r="F65" s="32">
        <f t="shared" si="7"/>
        <v>390.83</v>
      </c>
      <c r="G65" s="18">
        <f t="shared" si="8"/>
        <v>6227.5</v>
      </c>
    </row>
    <row r="66" spans="1:7" x14ac:dyDescent="0.15">
      <c r="A66" s="134" t="s">
        <v>66</v>
      </c>
      <c r="B66" s="134"/>
      <c r="C66" s="134"/>
      <c r="D66" s="31">
        <v>44897</v>
      </c>
      <c r="E66" s="16">
        <f t="shared" si="6"/>
        <v>5836.67</v>
      </c>
      <c r="F66" s="32">
        <f t="shared" si="7"/>
        <v>390.83</v>
      </c>
      <c r="G66" s="18">
        <f t="shared" si="8"/>
        <v>6227.5</v>
      </c>
    </row>
    <row r="67" spans="1:7" x14ac:dyDescent="0.15">
      <c r="A67" s="134" t="s">
        <v>67</v>
      </c>
      <c r="B67" s="134"/>
      <c r="C67" s="134"/>
      <c r="D67" s="31">
        <v>44928</v>
      </c>
      <c r="E67" s="16">
        <f t="shared" si="6"/>
        <v>5836.67</v>
      </c>
      <c r="F67" s="32">
        <f t="shared" si="7"/>
        <v>390.83</v>
      </c>
      <c r="G67" s="18">
        <f t="shared" si="8"/>
        <v>6227.5</v>
      </c>
    </row>
    <row r="68" spans="1:7" x14ac:dyDescent="0.15">
      <c r="A68" s="134" t="s">
        <v>68</v>
      </c>
      <c r="B68" s="134"/>
      <c r="C68" s="134"/>
      <c r="D68" s="31">
        <v>44959</v>
      </c>
      <c r="E68" s="16">
        <f t="shared" si="6"/>
        <v>5836.67</v>
      </c>
      <c r="F68" s="32">
        <f t="shared" si="7"/>
        <v>390.83</v>
      </c>
      <c r="G68" s="18">
        <f t="shared" si="8"/>
        <v>6227.5</v>
      </c>
    </row>
    <row r="69" spans="1:7" x14ac:dyDescent="0.15">
      <c r="A69" s="134" t="s">
        <v>69</v>
      </c>
      <c r="B69" s="134"/>
      <c r="C69" s="134"/>
      <c r="D69" s="31">
        <v>44987</v>
      </c>
      <c r="E69" s="16">
        <f t="shared" si="6"/>
        <v>5836.67</v>
      </c>
      <c r="F69" s="32">
        <f t="shared" si="7"/>
        <v>390.83</v>
      </c>
      <c r="G69" s="18">
        <f t="shared" si="8"/>
        <v>6227.5</v>
      </c>
    </row>
    <row r="70" spans="1:7" x14ac:dyDescent="0.15">
      <c r="A70" s="134" t="s">
        <v>70</v>
      </c>
      <c r="B70" s="134"/>
      <c r="C70" s="134"/>
      <c r="D70" s="31">
        <v>45018</v>
      </c>
      <c r="E70" s="16">
        <f t="shared" si="6"/>
        <v>5836.67</v>
      </c>
      <c r="F70" s="32">
        <f t="shared" si="7"/>
        <v>390.83</v>
      </c>
      <c r="G70" s="18">
        <f t="shared" si="8"/>
        <v>6227.5</v>
      </c>
    </row>
    <row r="71" spans="1:7" x14ac:dyDescent="0.15">
      <c r="A71" s="134" t="s">
        <v>71</v>
      </c>
      <c r="B71" s="134"/>
      <c r="C71" s="134"/>
      <c r="D71" s="31">
        <v>45048</v>
      </c>
      <c r="E71" s="16">
        <f t="shared" si="6"/>
        <v>5836.67</v>
      </c>
      <c r="F71" s="32">
        <f t="shared" si="7"/>
        <v>390.83</v>
      </c>
      <c r="G71" s="18">
        <f t="shared" si="8"/>
        <v>6227.5</v>
      </c>
    </row>
    <row r="72" spans="1:7" x14ac:dyDescent="0.15">
      <c r="A72" s="134" t="s">
        <v>72</v>
      </c>
      <c r="B72" s="134"/>
      <c r="C72" s="134"/>
      <c r="D72" s="31">
        <v>45079</v>
      </c>
      <c r="E72" s="16">
        <f t="shared" si="6"/>
        <v>5836.67</v>
      </c>
      <c r="F72" s="32">
        <f t="shared" si="7"/>
        <v>390.83</v>
      </c>
      <c r="G72" s="18">
        <f t="shared" si="8"/>
        <v>6227.5</v>
      </c>
    </row>
    <row r="73" spans="1:7" x14ac:dyDescent="0.15">
      <c r="A73" s="134" t="s">
        <v>73</v>
      </c>
      <c r="B73" s="134"/>
      <c r="C73" s="134"/>
      <c r="D73" s="31">
        <v>45109</v>
      </c>
      <c r="E73" s="16">
        <f t="shared" si="6"/>
        <v>5836.67</v>
      </c>
      <c r="F73" s="32">
        <f t="shared" si="7"/>
        <v>390.83</v>
      </c>
      <c r="G73" s="18">
        <f t="shared" si="8"/>
        <v>6227.5</v>
      </c>
    </row>
    <row r="74" spans="1:7" x14ac:dyDescent="0.15">
      <c r="A74" s="134" t="s">
        <v>74</v>
      </c>
      <c r="B74" s="134"/>
      <c r="C74" s="134"/>
      <c r="D74" s="31">
        <v>45140</v>
      </c>
      <c r="E74" s="16">
        <f>IF($A$39&lt;VALUE(LEFT(A74,2))," ",IF($A$39=VALUE(LEFT(A74,2)),($G$35-$G$36-$G$34)-($E$40*($A$39-1)),E73))</f>
        <v>5836.67</v>
      </c>
      <c r="F74" s="32">
        <f>IF($A$39&lt;VALUE(LEFT(A74,2))," ",IF($A$39=VALUE(LEFT(A74,2)),$G$34-($F$40*($A$39-1)),F73))</f>
        <v>390.83</v>
      </c>
      <c r="G74" s="18">
        <f>IF($A$39&lt;VALUE(LEFT(A74,2))," ",SUM(E74:F74))</f>
        <v>6227.5</v>
      </c>
    </row>
    <row r="75" spans="1:7" x14ac:dyDescent="0.15">
      <c r="A75" s="134" t="s">
        <v>75</v>
      </c>
      <c r="B75" s="134"/>
      <c r="C75" s="134"/>
      <c r="D75" s="31">
        <v>45171</v>
      </c>
      <c r="E75" s="16">
        <f>IF($A$39&lt;VALUE(LEFT(A75,2))," ",IF($A$39=VALUE(LEFT(A75,2)),($G$35-$G$36-$G$34)-($E$40*($A$39-1)),E74))</f>
        <v>5836.67</v>
      </c>
      <c r="F75" s="32">
        <f>IF($A$39&lt;VALUE(LEFT(A75,2))," ",IF($A$39=VALUE(LEFT(A75,2)),$G$34-($F$40*($A$39-1)),F74))</f>
        <v>390.83</v>
      </c>
      <c r="G75" s="18">
        <f>IF($A$39&lt;VALUE(LEFT(A75,2))," ",SUM(E75:F75))</f>
        <v>6227.5</v>
      </c>
    </row>
    <row r="76" spans="1:7" x14ac:dyDescent="0.15">
      <c r="A76" s="162" t="s">
        <v>164</v>
      </c>
      <c r="B76" s="134"/>
      <c r="C76" s="134"/>
      <c r="D76" s="31">
        <v>45201</v>
      </c>
      <c r="E76" s="16">
        <f t="shared" ref="E76:E87" si="9">IF($A$39&lt;VALUE(LEFT(A76,2))," ",IF($A$39=VALUE(LEFT(A76,2)),($G$35-$G$36-$G$34)-($E$40*($A$39-1)),E75))</f>
        <v>5836.67</v>
      </c>
      <c r="F76" s="32">
        <f t="shared" ref="F76:F87" si="10">IF($A$39&lt;VALUE(LEFT(A76,2))," ",IF($A$39=VALUE(LEFT(A76,2)),$G$34-($F$40*($A$39-1)),F75))</f>
        <v>390.83</v>
      </c>
      <c r="G76" s="18">
        <f t="shared" ref="G76:G87" si="11">IF($A$39&lt;VALUE(LEFT(A76,2))," ",SUM(E76:F76))</f>
        <v>6227.5</v>
      </c>
    </row>
    <row r="77" spans="1:7" x14ac:dyDescent="0.15">
      <c r="A77" s="162" t="s">
        <v>165</v>
      </c>
      <c r="B77" s="134"/>
      <c r="C77" s="134"/>
      <c r="D77" s="31">
        <v>45232</v>
      </c>
      <c r="E77" s="16">
        <f t="shared" si="9"/>
        <v>5836.67</v>
      </c>
      <c r="F77" s="32">
        <f t="shared" si="10"/>
        <v>390.83</v>
      </c>
      <c r="G77" s="18">
        <f t="shared" si="11"/>
        <v>6227.5</v>
      </c>
    </row>
    <row r="78" spans="1:7" x14ac:dyDescent="0.15">
      <c r="A78" s="162" t="s">
        <v>166</v>
      </c>
      <c r="B78" s="134"/>
      <c r="C78" s="134"/>
      <c r="D78" s="31">
        <v>45262</v>
      </c>
      <c r="E78" s="16">
        <f t="shared" si="9"/>
        <v>5836.67</v>
      </c>
      <c r="F78" s="32">
        <f t="shared" si="10"/>
        <v>390.83</v>
      </c>
      <c r="G78" s="18">
        <f t="shared" si="11"/>
        <v>6227.5</v>
      </c>
    </row>
    <row r="79" spans="1:7" x14ac:dyDescent="0.15">
      <c r="A79" s="162" t="s">
        <v>167</v>
      </c>
      <c r="B79" s="134"/>
      <c r="C79" s="134"/>
      <c r="D79" s="31">
        <v>45293</v>
      </c>
      <c r="E79" s="16">
        <f t="shared" si="9"/>
        <v>5836.67</v>
      </c>
      <c r="F79" s="32">
        <f t="shared" si="10"/>
        <v>390.83</v>
      </c>
      <c r="G79" s="18">
        <f t="shared" si="11"/>
        <v>6227.5</v>
      </c>
    </row>
    <row r="80" spans="1:7" x14ac:dyDescent="0.15">
      <c r="A80" s="162" t="s">
        <v>168</v>
      </c>
      <c r="B80" s="134"/>
      <c r="C80" s="134"/>
      <c r="D80" s="31">
        <v>45324</v>
      </c>
      <c r="E80" s="16">
        <f t="shared" si="9"/>
        <v>5836.67</v>
      </c>
      <c r="F80" s="32">
        <f t="shared" si="10"/>
        <v>390.83</v>
      </c>
      <c r="G80" s="18">
        <f t="shared" si="11"/>
        <v>6227.5</v>
      </c>
    </row>
    <row r="81" spans="1:9" x14ac:dyDescent="0.15">
      <c r="A81" s="162" t="s">
        <v>169</v>
      </c>
      <c r="B81" s="134"/>
      <c r="C81" s="134"/>
      <c r="D81" s="31">
        <v>45353</v>
      </c>
      <c r="E81" s="16">
        <f t="shared" si="9"/>
        <v>5836.67</v>
      </c>
      <c r="F81" s="32">
        <f t="shared" si="10"/>
        <v>390.83</v>
      </c>
      <c r="G81" s="18">
        <f t="shared" si="11"/>
        <v>6227.5</v>
      </c>
    </row>
    <row r="82" spans="1:9" x14ac:dyDescent="0.15">
      <c r="A82" s="162" t="s">
        <v>170</v>
      </c>
      <c r="B82" s="134"/>
      <c r="C82" s="134"/>
      <c r="D82" s="31">
        <v>45384</v>
      </c>
      <c r="E82" s="16">
        <f t="shared" si="9"/>
        <v>5836.67</v>
      </c>
      <c r="F82" s="32">
        <f t="shared" si="10"/>
        <v>390.83</v>
      </c>
      <c r="G82" s="18">
        <f t="shared" si="11"/>
        <v>6227.5</v>
      </c>
    </row>
    <row r="83" spans="1:9" x14ac:dyDescent="0.15">
      <c r="A83" s="162" t="s">
        <v>171</v>
      </c>
      <c r="B83" s="134"/>
      <c r="C83" s="134"/>
      <c r="D83" s="31">
        <v>45414</v>
      </c>
      <c r="E83" s="16">
        <f t="shared" si="9"/>
        <v>5836.67</v>
      </c>
      <c r="F83" s="32">
        <f t="shared" si="10"/>
        <v>390.83</v>
      </c>
      <c r="G83" s="18">
        <f t="shared" si="11"/>
        <v>6227.5</v>
      </c>
    </row>
    <row r="84" spans="1:9" x14ac:dyDescent="0.15">
      <c r="A84" s="162" t="s">
        <v>172</v>
      </c>
      <c r="B84" s="134"/>
      <c r="C84" s="134"/>
      <c r="D84" s="31">
        <v>45445</v>
      </c>
      <c r="E84" s="16">
        <f t="shared" si="9"/>
        <v>5836.67</v>
      </c>
      <c r="F84" s="32">
        <f t="shared" si="10"/>
        <v>390.83</v>
      </c>
      <c r="G84" s="18">
        <f t="shared" si="11"/>
        <v>6227.5</v>
      </c>
    </row>
    <row r="85" spans="1:9" x14ac:dyDescent="0.15">
      <c r="A85" s="162" t="s">
        <v>173</v>
      </c>
      <c r="B85" s="134"/>
      <c r="C85" s="134"/>
      <c r="D85" s="31">
        <v>45475</v>
      </c>
      <c r="E85" s="16">
        <f t="shared" si="9"/>
        <v>5836.67</v>
      </c>
      <c r="F85" s="32">
        <f t="shared" si="10"/>
        <v>390.83</v>
      </c>
      <c r="G85" s="18">
        <f t="shared" si="11"/>
        <v>6227.5</v>
      </c>
    </row>
    <row r="86" spans="1:9" x14ac:dyDescent="0.15">
      <c r="A86" s="162" t="s">
        <v>174</v>
      </c>
      <c r="B86" s="134"/>
      <c r="C86" s="134"/>
      <c r="D86" s="31">
        <v>45506</v>
      </c>
      <c r="E86" s="16">
        <f t="shared" si="9"/>
        <v>5836.67</v>
      </c>
      <c r="F86" s="32">
        <f t="shared" si="10"/>
        <v>390.83</v>
      </c>
      <c r="G86" s="18">
        <f t="shared" si="11"/>
        <v>6227.5</v>
      </c>
    </row>
    <row r="87" spans="1:9" x14ac:dyDescent="0.15">
      <c r="A87" s="162" t="s">
        <v>175</v>
      </c>
      <c r="B87" s="134"/>
      <c r="C87" s="134"/>
      <c r="D87" s="31">
        <v>45537</v>
      </c>
      <c r="E87" s="16">
        <f t="shared" si="9"/>
        <v>5836.67</v>
      </c>
      <c r="F87" s="32">
        <f t="shared" si="10"/>
        <v>390.83</v>
      </c>
      <c r="G87" s="18">
        <f t="shared" si="11"/>
        <v>6227.5</v>
      </c>
    </row>
    <row r="88" spans="1:9" x14ac:dyDescent="0.15">
      <c r="B88" s="33"/>
      <c r="E88" s="34"/>
      <c r="F88" s="25"/>
      <c r="G88" s="35"/>
    </row>
    <row r="89" spans="1:9" x14ac:dyDescent="0.15">
      <c r="A89" s="22" t="s">
        <v>92</v>
      </c>
    </row>
    <row r="90" spans="1:9" x14ac:dyDescent="0.15">
      <c r="B90" s="1" t="s">
        <v>93</v>
      </c>
      <c r="F90" s="36">
        <f>D82</f>
        <v>45384</v>
      </c>
    </row>
    <row r="91" spans="1:9" x14ac:dyDescent="0.15">
      <c r="B91" s="1" t="s">
        <v>94</v>
      </c>
      <c r="F91" s="36">
        <f>D87+30</f>
        <v>45567</v>
      </c>
      <c r="G91" s="37">
        <f>ROUND(((G24+G25)*((100-A33)/100))+(G29*(100-A33)/100),2)</f>
        <v>1275680</v>
      </c>
      <c r="I91" s="18"/>
    </row>
    <row r="92" spans="1:9" x14ac:dyDescent="0.15">
      <c r="B92" s="1" t="s">
        <v>95</v>
      </c>
    </row>
    <row r="93" spans="1:9" ht="12.75" customHeight="1" x14ac:dyDescent="0.15"/>
    <row r="94" spans="1:9" x14ac:dyDescent="0.15">
      <c r="A94" s="38" t="s">
        <v>96</v>
      </c>
      <c r="B94" s="39"/>
      <c r="C94" s="39"/>
      <c r="D94" s="39"/>
    </row>
    <row r="95" spans="1:9" x14ac:dyDescent="0.15">
      <c r="A95" s="144" t="s">
        <v>97</v>
      </c>
      <c r="B95" s="144"/>
      <c r="C95" s="144"/>
      <c r="D95" s="144"/>
      <c r="E95" s="144"/>
      <c r="F95" s="144"/>
      <c r="G95" s="144"/>
    </row>
    <row r="96" spans="1:9" x14ac:dyDescent="0.15">
      <c r="A96" s="39" t="s">
        <v>98</v>
      </c>
      <c r="B96" s="39"/>
      <c r="C96" s="39"/>
      <c r="D96" s="39"/>
    </row>
    <row r="97" spans="1:7" x14ac:dyDescent="0.15">
      <c r="A97" s="39" t="s">
        <v>99</v>
      </c>
      <c r="B97" s="39"/>
      <c r="C97" s="39"/>
      <c r="D97" s="39"/>
    </row>
    <row r="98" spans="1:7" x14ac:dyDescent="0.15">
      <c r="A98" s="39" t="s">
        <v>100</v>
      </c>
      <c r="B98" s="39"/>
      <c r="C98" s="39"/>
      <c r="D98" s="39"/>
    </row>
    <row r="99" spans="1:7" x14ac:dyDescent="0.15">
      <c r="A99" s="126" t="s">
        <v>101</v>
      </c>
      <c r="B99" s="39"/>
      <c r="C99" s="39"/>
      <c r="D99" s="39"/>
    </row>
    <row r="100" spans="1:7" x14ac:dyDescent="0.15">
      <c r="A100" s="126" t="s">
        <v>102</v>
      </c>
      <c r="B100" s="39"/>
      <c r="C100" s="39"/>
      <c r="D100" s="39"/>
    </row>
    <row r="101" spans="1:7" x14ac:dyDescent="0.15">
      <c r="A101" s="126" t="s">
        <v>103</v>
      </c>
      <c r="B101" s="39"/>
      <c r="C101" s="39"/>
      <c r="D101" s="39"/>
    </row>
    <row r="102" spans="1:7" x14ac:dyDescent="0.15">
      <c r="A102" s="126" t="s">
        <v>104</v>
      </c>
      <c r="B102" s="39"/>
      <c r="C102" s="39"/>
      <c r="D102" s="39"/>
    </row>
    <row r="103" spans="1:7" x14ac:dyDescent="0.15">
      <c r="A103" s="126" t="s">
        <v>105</v>
      </c>
      <c r="B103" s="39"/>
      <c r="C103" s="39"/>
      <c r="D103" s="39"/>
    </row>
    <row r="104" spans="1:7" x14ac:dyDescent="0.15">
      <c r="A104" s="144" t="s">
        <v>106</v>
      </c>
      <c r="B104" s="144"/>
      <c r="C104" s="144"/>
      <c r="D104" s="144"/>
      <c r="E104" s="144"/>
      <c r="F104" s="144"/>
      <c r="G104" s="144"/>
    </row>
    <row r="105" spans="1:7" ht="12.75" customHeight="1" x14ac:dyDescent="0.15"/>
    <row r="106" spans="1:7" ht="12.75" customHeight="1" x14ac:dyDescent="0.15"/>
    <row r="107" spans="1:7" x14ac:dyDescent="0.15">
      <c r="A107" s="1" t="s">
        <v>107</v>
      </c>
      <c r="E107" s="1" t="s">
        <v>108</v>
      </c>
    </row>
    <row r="108" spans="1:7" ht="12.75" customHeight="1" x14ac:dyDescent="0.15"/>
    <row r="109" spans="1:7" ht="12.75" customHeight="1" x14ac:dyDescent="0.15"/>
    <row r="110" spans="1:7" x14ac:dyDescent="0.15">
      <c r="A110" s="40"/>
      <c r="B110" s="40"/>
      <c r="C110" s="40"/>
      <c r="E110" s="40"/>
      <c r="F110" s="40"/>
      <c r="G110" s="40"/>
    </row>
    <row r="111" spans="1:7" x14ac:dyDescent="0.15">
      <c r="A111" s="1" t="s">
        <v>109</v>
      </c>
      <c r="E111" s="1" t="s">
        <v>109</v>
      </c>
    </row>
    <row r="112" spans="1:7" x14ac:dyDescent="0.15">
      <c r="A112" s="1" t="s">
        <v>110</v>
      </c>
      <c r="E112" s="1" t="s">
        <v>111</v>
      </c>
    </row>
    <row r="113" spans="1:3" ht="12.75" customHeight="1" x14ac:dyDescent="0.15"/>
    <row r="114" spans="1:3" ht="12.75" customHeight="1" x14ac:dyDescent="0.15"/>
    <row r="115" spans="1:3" x14ac:dyDescent="0.15">
      <c r="A115" s="1" t="s">
        <v>112</v>
      </c>
    </row>
    <row r="116" spans="1:3" ht="12.75" customHeight="1" x14ac:dyDescent="0.15"/>
    <row r="117" spans="1:3" ht="12.75" customHeight="1" x14ac:dyDescent="0.15"/>
    <row r="118" spans="1:3" x14ac:dyDescent="0.15">
      <c r="A118" s="40"/>
      <c r="B118" s="40"/>
      <c r="C118" s="40"/>
    </row>
    <row r="119" spans="1:3" x14ac:dyDescent="0.15">
      <c r="A119" s="1" t="s">
        <v>109</v>
      </c>
    </row>
    <row r="120" spans="1:3" x14ac:dyDescent="0.15">
      <c r="A120" s="1" t="s">
        <v>113</v>
      </c>
    </row>
  </sheetData>
  <mergeCells count="56">
    <mergeCell ref="A104:G104"/>
    <mergeCell ref="A82:C82"/>
    <mergeCell ref="A83:C83"/>
    <mergeCell ref="A84:C84"/>
    <mergeCell ref="A85:C85"/>
    <mergeCell ref="A86:C86"/>
    <mergeCell ref="A87:C87"/>
    <mergeCell ref="A95:G95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</mergeCells>
  <phoneticPr fontId="16" type="noConversion"/>
  <conditionalFormatting sqref="B11 B25">
    <cfRule type="expression" dxfId="55" priority="3" stopIfTrue="1">
      <formula>G11=0</formula>
    </cfRule>
  </conditionalFormatting>
  <conditionalFormatting sqref="A41:C48">
    <cfRule type="expression" dxfId="54" priority="4" stopIfTrue="1">
      <formula>VALUE(NoDPSchedule)&lt;VALUE(LEFT(A41,1))</formula>
    </cfRule>
  </conditionalFormatting>
  <conditionalFormatting sqref="A49:C75">
    <cfRule type="expression" dxfId="53" priority="5" stopIfTrue="1">
      <formula>VALUE(NoDPSchedule)&lt;VALUE(LEFT(A49,2))</formula>
    </cfRule>
  </conditionalFormatting>
  <conditionalFormatting sqref="G11 G25">
    <cfRule type="expression" dxfId="52" priority="6" stopIfTrue="1">
      <formula>G11=0</formula>
    </cfRule>
  </conditionalFormatting>
  <conditionalFormatting sqref="D4">
    <cfRule type="expression" dxfId="51" priority="2" stopIfTrue="1">
      <formula>G5&lt;=TODAY()</formula>
    </cfRule>
  </conditionalFormatting>
  <conditionalFormatting sqref="A76:C87">
    <cfRule type="expression" dxfId="50" priority="1" stopIfTrue="1">
      <formula>VALUE(NoDPSchedule)&lt;VALUE(LEFT(A76,2))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portrait" horizontalDpi="4294967294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8"/>
  <sheetViews>
    <sheetView topLeftCell="A39" workbookViewId="0">
      <selection activeCell="P57" sqref="P57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3" width="6.6640625" style="1" customWidth="1"/>
    <col min="4" max="4" width="13.33203125" style="1" customWidth="1"/>
    <col min="5" max="5" width="12.6640625" style="1" customWidth="1"/>
    <col min="6" max="6" width="36.5" style="1" customWidth="1"/>
    <col min="7" max="7" width="18.1640625" style="1" customWidth="1"/>
    <col min="8" max="8" width="13.6640625" style="1" hidden="1" customWidth="1"/>
    <col min="9" max="9" width="13.33203125" style="1" hidden="1" customWidth="1"/>
    <col min="10" max="11" width="13.6640625" style="1" hidden="1" customWidth="1"/>
    <col min="12" max="12" width="0" style="1" hidden="1" customWidth="1"/>
    <col min="13" max="13" width="12.33203125" style="1"/>
    <col min="14" max="14" width="15.6640625" style="1" customWidth="1"/>
    <col min="15" max="16384" width="12.33203125" style="1"/>
  </cols>
  <sheetData>
    <row r="1" spans="1:15" ht="14.25" customHeight="1" x14ac:dyDescent="0.2">
      <c r="A1" s="2"/>
      <c r="B1" s="135" t="s">
        <v>0</v>
      </c>
      <c r="C1" s="135"/>
      <c r="D1" s="135"/>
      <c r="E1" s="135"/>
      <c r="F1" s="135"/>
      <c r="G1" s="3"/>
    </row>
    <row r="2" spans="1:15" ht="14.25" customHeight="1" x14ac:dyDescent="0.15">
      <c r="A2" s="4"/>
      <c r="B2" s="136" t="s">
        <v>1</v>
      </c>
      <c r="C2" s="136"/>
      <c r="D2" s="136"/>
      <c r="E2" s="136"/>
      <c r="F2" s="136"/>
      <c r="G2" s="5"/>
    </row>
    <row r="3" spans="1:15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5" ht="13.5" customHeight="1" x14ac:dyDescent="0.15">
      <c r="A4" s="6">
        <f>IF(A39&lt;=12,12,A39)</f>
        <v>24</v>
      </c>
      <c r="B4" s="174" t="s">
        <v>115</v>
      </c>
      <c r="C4" s="174"/>
      <c r="D4" s="174"/>
      <c r="E4" s="174"/>
      <c r="F4" s="174"/>
      <c r="G4" s="8"/>
    </row>
    <row r="5" spans="1:15" ht="13.5" customHeight="1" x14ac:dyDescent="0.15">
      <c r="G5" s="9">
        <v>24</v>
      </c>
    </row>
    <row r="6" spans="1:15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  <c r="H6" s="93"/>
      <c r="I6" s="93"/>
      <c r="J6" s="93"/>
      <c r="K6" s="93"/>
      <c r="L6" s="94"/>
    </row>
    <row r="7" spans="1:15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  <c r="I7" s="97"/>
    </row>
    <row r="8" spans="1:15" ht="12.75" customHeight="1" x14ac:dyDescent="0.15">
      <c r="A8" s="41"/>
      <c r="B8" s="41"/>
      <c r="C8" s="41"/>
      <c r="D8" s="41"/>
      <c r="E8" s="41"/>
      <c r="F8" s="41"/>
      <c r="G8" s="41"/>
      <c r="J8" s="97"/>
    </row>
    <row r="9" spans="1:15" ht="12.75" customHeight="1" x14ac:dyDescent="0.15">
      <c r="A9" s="41"/>
      <c r="B9" s="41"/>
      <c r="C9" s="41"/>
      <c r="D9" s="41"/>
      <c r="E9" s="41"/>
      <c r="F9" s="41"/>
      <c r="G9" s="41"/>
    </row>
    <row r="10" spans="1:15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  <c r="H10" s="97">
        <f>G10-G11</f>
        <v>1340000</v>
      </c>
      <c r="I10" s="97">
        <f>205000*38.2</f>
        <v>7831000.0000000009</v>
      </c>
      <c r="J10" s="97"/>
      <c r="N10" s="100"/>
      <c r="O10" s="100"/>
    </row>
    <row r="11" spans="1:15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160800</v>
      </c>
      <c r="H11" s="18"/>
      <c r="J11" s="100">
        <f>G10-G11</f>
        <v>1340000</v>
      </c>
      <c r="K11" s="100">
        <f>G10-G11</f>
        <v>1340000</v>
      </c>
      <c r="N11" s="100"/>
    </row>
    <row r="12" spans="1:15" hidden="1" x14ac:dyDescent="0.15">
      <c r="A12" s="17">
        <v>0</v>
      </c>
      <c r="B12" s="1" t="s">
        <v>131</v>
      </c>
      <c r="D12" s="22" t="s">
        <v>132</v>
      </c>
      <c r="F12" s="15"/>
      <c r="G12" s="18"/>
      <c r="I12" s="18"/>
      <c r="J12" s="18"/>
    </row>
    <row r="13" spans="1:15" hidden="1" x14ac:dyDescent="0.15">
      <c r="B13" s="1" t="s">
        <v>14</v>
      </c>
      <c r="G13" s="18">
        <v>0</v>
      </c>
      <c r="I13" s="18"/>
      <c r="J13" s="18"/>
    </row>
    <row r="14" spans="1:15" hidden="1" x14ac:dyDescent="0.15">
      <c r="B14" s="1" t="s">
        <v>15</v>
      </c>
      <c r="G14" s="18">
        <v>0</v>
      </c>
      <c r="I14" s="18"/>
      <c r="J14" s="18"/>
    </row>
    <row r="15" spans="1:15" ht="14" hidden="1" x14ac:dyDescent="0.2">
      <c r="B15" s="1" t="s">
        <v>16</v>
      </c>
      <c r="D15" s="38" t="s">
        <v>119</v>
      </c>
      <c r="E15"/>
      <c r="F15"/>
      <c r="G15" s="18"/>
      <c r="H15" s="100"/>
      <c r="I15" s="18"/>
      <c r="L15" s="18">
        <f>SUM(G15:G16)</f>
        <v>0</v>
      </c>
    </row>
    <row r="16" spans="1:15" hidden="1" x14ac:dyDescent="0.15">
      <c r="B16" s="1" t="s">
        <v>131</v>
      </c>
      <c r="D16" s="22" t="s">
        <v>132</v>
      </c>
      <c r="F16" s="15"/>
      <c r="G16" s="18"/>
      <c r="I16" s="18"/>
    </row>
    <row r="17" spans="1:10" hidden="1" x14ac:dyDescent="0.15">
      <c r="B17" s="1" t="s">
        <v>19</v>
      </c>
      <c r="G17" s="18">
        <v>0</v>
      </c>
      <c r="I17" s="18"/>
    </row>
    <row r="18" spans="1:10" hidden="1" x14ac:dyDescent="0.15">
      <c r="B18" s="1" t="s">
        <v>20</v>
      </c>
      <c r="G18" s="18">
        <v>0</v>
      </c>
      <c r="H18" s="18"/>
      <c r="I18" s="18"/>
      <c r="J18" s="18"/>
    </row>
    <row r="19" spans="1:10" hidden="1" x14ac:dyDescent="0.15">
      <c r="B19" s="1" t="s">
        <v>21</v>
      </c>
      <c r="G19" s="18">
        <v>0</v>
      </c>
      <c r="J19" s="18"/>
    </row>
    <row r="20" spans="1:10" hidden="1" x14ac:dyDescent="0.15">
      <c r="B20" s="1" t="s">
        <v>22</v>
      </c>
      <c r="G20" s="18">
        <v>0</v>
      </c>
      <c r="J20" s="18"/>
    </row>
    <row r="21" spans="1:10" hidden="1" x14ac:dyDescent="0.15">
      <c r="B21" s="1" t="s">
        <v>23</v>
      </c>
      <c r="G21" s="18">
        <v>0</v>
      </c>
      <c r="J21" s="18"/>
    </row>
    <row r="22" spans="1:10" hidden="1" x14ac:dyDescent="0.15">
      <c r="B22" s="1" t="s">
        <v>24</v>
      </c>
      <c r="G22" s="18">
        <v>0</v>
      </c>
      <c r="J22" s="18"/>
    </row>
    <row r="23" spans="1:10" ht="13.5" customHeight="1" x14ac:dyDescent="0.15">
      <c r="F23" s="15"/>
      <c r="G23" s="19"/>
      <c r="J23" s="18"/>
    </row>
    <row r="24" spans="1:10" ht="13.5" customHeight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1340000</v>
      </c>
    </row>
    <row r="25" spans="1:10" x14ac:dyDescent="0.15">
      <c r="A25" s="1" t="s">
        <v>26</v>
      </c>
      <c r="B25" s="1" t="s">
        <v>13</v>
      </c>
      <c r="G25" s="18">
        <f>ROUND(IF(ISERROR(FIND("PARKING",Model,1)),IF(G24&gt;3199200,G24*12%,0),G24*12%),2)</f>
        <v>160800</v>
      </c>
      <c r="I25" s="18"/>
    </row>
    <row r="26" spans="1:10" hidden="1" x14ac:dyDescent="0.15">
      <c r="A26" s="17">
        <v>7</v>
      </c>
      <c r="B26" s="1" t="s">
        <v>27</v>
      </c>
      <c r="G26" s="18">
        <f>ROUND(G24*(A26/100),2)</f>
        <v>93800</v>
      </c>
    </row>
    <row r="27" spans="1:10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idden="1" x14ac:dyDescent="0.15">
      <c r="A28" s="17"/>
      <c r="B28" s="1" t="s">
        <v>29</v>
      </c>
      <c r="G28" s="18">
        <v>0</v>
      </c>
    </row>
    <row r="29" spans="1:10" ht="13.5" customHeight="1" x14ac:dyDescent="0.15">
      <c r="A29" s="17"/>
      <c r="B29" s="1" t="s">
        <v>27</v>
      </c>
      <c r="G29" s="18">
        <f>ROUND(SUM(G26,G28,F27),2)</f>
        <v>93800</v>
      </c>
    </row>
    <row r="30" spans="1:10" ht="13.5" customHeight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1594600</v>
      </c>
    </row>
    <row r="31" spans="1:10" ht="12.75" customHeight="1" x14ac:dyDescent="0.15"/>
    <row r="32" spans="1:10" x14ac:dyDescent="0.15">
      <c r="A32" s="22" t="s">
        <v>31</v>
      </c>
    </row>
    <row r="33" spans="1:10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300160</v>
      </c>
      <c r="J33" s="18"/>
    </row>
    <row r="34" spans="1:10" ht="13.5" customHeight="1" x14ac:dyDescent="0.15">
      <c r="A34" s="22"/>
      <c r="B34" s="1" t="s">
        <v>32</v>
      </c>
      <c r="G34" s="18">
        <f>ROUND(G29*(A33/100),2)</f>
        <v>18760</v>
      </c>
      <c r="J34" s="24"/>
    </row>
    <row r="35" spans="1:10" ht="13.5" customHeight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318920</v>
      </c>
    </row>
    <row r="36" spans="1:10" ht="13.5" customHeight="1" x14ac:dyDescent="0.15">
      <c r="A36" s="1" t="s">
        <v>12</v>
      </c>
      <c r="B36" s="1" t="s">
        <v>34</v>
      </c>
      <c r="F36" s="25">
        <f ca="1">NOW()</f>
        <v>44075.451322222223</v>
      </c>
      <c r="G36" s="18">
        <v>20000</v>
      </c>
    </row>
    <row r="37" spans="1:10" ht="13.5" customHeight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298920</v>
      </c>
    </row>
    <row r="38" spans="1:10" x14ac:dyDescent="0.15">
      <c r="A38" s="17">
        <v>0</v>
      </c>
    </row>
    <row r="39" spans="1:10" ht="25.5" customHeight="1" x14ac:dyDescent="0.15">
      <c r="A39" s="27">
        <v>24</v>
      </c>
      <c r="B39" s="142" t="s">
        <v>36</v>
      </c>
      <c r="C39" s="142"/>
      <c r="D39" s="125" t="s">
        <v>37</v>
      </c>
      <c r="E39" s="28" t="s">
        <v>38</v>
      </c>
      <c r="F39" s="29" t="s">
        <v>27</v>
      </c>
      <c r="G39" s="30" t="s">
        <v>39</v>
      </c>
    </row>
    <row r="40" spans="1:10" x14ac:dyDescent="0.15">
      <c r="A40" s="134" t="s">
        <v>40</v>
      </c>
      <c r="B40" s="134"/>
      <c r="C40" s="134"/>
      <c r="D40" s="106">
        <f ca="1">F36+60</f>
        <v>44135.451322222223</v>
      </c>
      <c r="E40" s="16">
        <f>ROUND((G35-G36-G34)/A39,2)</f>
        <v>11673.33</v>
      </c>
      <c r="F40" s="32">
        <f>ROUND(SUM(G34:G34)/A39,2)</f>
        <v>781.67</v>
      </c>
      <c r="G40" s="18">
        <f>SUM(E40:F40)</f>
        <v>12455</v>
      </c>
    </row>
    <row r="41" spans="1:10" x14ac:dyDescent="0.15">
      <c r="A41" s="134" t="s">
        <v>41</v>
      </c>
      <c r="B41" s="134"/>
      <c r="C41" s="134"/>
      <c r="D41" s="31">
        <v>44091</v>
      </c>
      <c r="E41" s="16">
        <f>IF($A$39&lt;VALUE(LEFT(A41,1))," ",IF($A$39=VALUE(LEFT(A41,1)),($G$35-$G$36-$G$34)-($E$40*($A$39-1)),E40))</f>
        <v>11673.33</v>
      </c>
      <c r="F41" s="32">
        <f>IF($A$39&lt;VALUE(LEFT(A41,1))," ",IF($A$39=VALUE(LEFT(A41,1)),$G$34-($F$40*($A$39-1)),F40))</f>
        <v>781.67</v>
      </c>
      <c r="G41" s="18">
        <f>IF($A$39&lt;VALUE(LEFT(A41,1))," ",SUM(E41:F41))</f>
        <v>12455</v>
      </c>
    </row>
    <row r="42" spans="1:10" x14ac:dyDescent="0.15">
      <c r="A42" s="134" t="s">
        <v>42</v>
      </c>
      <c r="B42" s="134"/>
      <c r="C42" s="134"/>
      <c r="D42" s="31">
        <v>44121</v>
      </c>
      <c r="E42" s="16">
        <f t="shared" ref="E42:E48" si="0">IF($A$39&lt;VALUE(LEFT(A42,1))," ",IF($A$39=VALUE(LEFT(A42,1)),($G$35-$G$36-$G$34)-($E$40*($A$39-1)),E41))</f>
        <v>11673.33</v>
      </c>
      <c r="F42" s="32">
        <f t="shared" ref="F42:F48" si="1">IF($A$39&lt;VALUE(LEFT(A42,1))," ",IF($A$39=VALUE(LEFT(A42,1)),$G$34-($F$40*($A$39-1)),F41))</f>
        <v>781.67</v>
      </c>
      <c r="G42" s="18">
        <f t="shared" ref="G42:G48" si="2">IF($A$39&lt;VALUE(LEFT(A42,1))," ",SUM(E42:F42))</f>
        <v>12455</v>
      </c>
    </row>
    <row r="43" spans="1:10" x14ac:dyDescent="0.15">
      <c r="A43" s="134" t="s">
        <v>43</v>
      </c>
      <c r="B43" s="134"/>
      <c r="C43" s="134"/>
      <c r="D43" s="31">
        <v>44152</v>
      </c>
      <c r="E43" s="16">
        <f t="shared" si="0"/>
        <v>11673.33</v>
      </c>
      <c r="F43" s="32">
        <f t="shared" si="1"/>
        <v>781.67</v>
      </c>
      <c r="G43" s="18">
        <f t="shared" si="2"/>
        <v>12455</v>
      </c>
    </row>
    <row r="44" spans="1:10" x14ac:dyDescent="0.15">
      <c r="A44" s="134" t="s">
        <v>44</v>
      </c>
      <c r="B44" s="134"/>
      <c r="C44" s="134"/>
      <c r="D44" s="31">
        <v>44182</v>
      </c>
      <c r="E44" s="16">
        <f t="shared" si="0"/>
        <v>11673.33</v>
      </c>
      <c r="F44" s="32">
        <f t="shared" si="1"/>
        <v>781.67</v>
      </c>
      <c r="G44" s="18">
        <f t="shared" si="2"/>
        <v>12455</v>
      </c>
    </row>
    <row r="45" spans="1:10" x14ac:dyDescent="0.15">
      <c r="A45" s="134" t="s">
        <v>45</v>
      </c>
      <c r="B45" s="134"/>
      <c r="C45" s="134"/>
      <c r="D45" s="31">
        <v>44213</v>
      </c>
      <c r="E45" s="16">
        <f t="shared" si="0"/>
        <v>11673.33</v>
      </c>
      <c r="F45" s="32">
        <f t="shared" si="1"/>
        <v>781.67</v>
      </c>
      <c r="G45" s="18">
        <f t="shared" si="2"/>
        <v>12455</v>
      </c>
    </row>
    <row r="46" spans="1:10" x14ac:dyDescent="0.15">
      <c r="A46" s="134" t="s">
        <v>46</v>
      </c>
      <c r="B46" s="134"/>
      <c r="C46" s="134"/>
      <c r="D46" s="31">
        <v>44244</v>
      </c>
      <c r="E46" s="16">
        <f t="shared" si="0"/>
        <v>11673.33</v>
      </c>
      <c r="F46" s="32">
        <f t="shared" si="1"/>
        <v>781.67</v>
      </c>
      <c r="G46" s="18">
        <f t="shared" si="2"/>
        <v>12455</v>
      </c>
    </row>
    <row r="47" spans="1:10" x14ac:dyDescent="0.15">
      <c r="A47" s="134" t="s">
        <v>47</v>
      </c>
      <c r="B47" s="134"/>
      <c r="C47" s="134"/>
      <c r="D47" s="31">
        <v>44272</v>
      </c>
      <c r="E47" s="16">
        <f t="shared" si="0"/>
        <v>11673.33</v>
      </c>
      <c r="F47" s="32">
        <f t="shared" si="1"/>
        <v>781.67</v>
      </c>
      <c r="G47" s="18">
        <f t="shared" si="2"/>
        <v>12455</v>
      </c>
    </row>
    <row r="48" spans="1:10" x14ac:dyDescent="0.15">
      <c r="A48" s="134" t="s">
        <v>48</v>
      </c>
      <c r="B48" s="134"/>
      <c r="C48" s="134"/>
      <c r="D48" s="31">
        <v>44303</v>
      </c>
      <c r="E48" s="16">
        <f t="shared" si="0"/>
        <v>11673.33</v>
      </c>
      <c r="F48" s="32">
        <f t="shared" si="1"/>
        <v>781.67</v>
      </c>
      <c r="G48" s="18">
        <f t="shared" si="2"/>
        <v>12455</v>
      </c>
    </row>
    <row r="49" spans="1:7" x14ac:dyDescent="0.15">
      <c r="A49" s="134" t="s">
        <v>49</v>
      </c>
      <c r="B49" s="134"/>
      <c r="C49" s="134"/>
      <c r="D49" s="31">
        <v>44333</v>
      </c>
      <c r="E49" s="16">
        <f>IF($A$39&lt;VALUE(LEFT(A49,2))," ",IF($A$39=VALUE(LEFT(A49,2)),($G$35-$G$36-$G$34)-($E$40*($A$39-1)),E48))</f>
        <v>11673.33</v>
      </c>
      <c r="F49" s="32">
        <f>IF($A$39&lt;VALUE(LEFT(A49,2))," ",IF($A$39=VALUE(LEFT(A49,2)),$G$34-($F$40*($A$39-1)),F48))</f>
        <v>781.67</v>
      </c>
      <c r="G49" s="18">
        <f>IF($A$39&lt;VALUE(LEFT(A49,2))," ",SUM(E49:F49))</f>
        <v>12455</v>
      </c>
    </row>
    <row r="50" spans="1:7" x14ac:dyDescent="0.15">
      <c r="A50" s="134" t="s">
        <v>50</v>
      </c>
      <c r="B50" s="134"/>
      <c r="C50" s="134"/>
      <c r="D50" s="31">
        <v>44364</v>
      </c>
      <c r="E50" s="16">
        <f t="shared" ref="E50:E62" si="3">IF($A$39&lt;VALUE(LEFT(A50,2))," ",IF($A$39=VALUE(LEFT(A50,2)),($G$35-$G$36-$G$34)-($E$40*($A$39-1)),E49))</f>
        <v>11673.33</v>
      </c>
      <c r="F50" s="32">
        <f t="shared" ref="F50:F62" si="4">IF($A$39&lt;VALUE(LEFT(A50,2))," ",IF($A$39=VALUE(LEFT(A50,2)),$G$34-($F$40*($A$39-1)),F49))</f>
        <v>781.67</v>
      </c>
      <c r="G50" s="18">
        <f t="shared" ref="G50:G62" si="5">IF($A$39&lt;VALUE(LEFT(A50,2))," ",SUM(E50:F50))</f>
        <v>12455</v>
      </c>
    </row>
    <row r="51" spans="1:7" x14ac:dyDescent="0.15">
      <c r="A51" s="134" t="s">
        <v>51</v>
      </c>
      <c r="B51" s="134"/>
      <c r="C51" s="134"/>
      <c r="D51" s="31">
        <v>44394</v>
      </c>
      <c r="E51" s="16">
        <f t="shared" si="3"/>
        <v>11673.33</v>
      </c>
      <c r="F51" s="32">
        <f t="shared" si="4"/>
        <v>781.67</v>
      </c>
      <c r="G51" s="18">
        <f t="shared" si="5"/>
        <v>12455</v>
      </c>
    </row>
    <row r="52" spans="1:7" x14ac:dyDescent="0.15">
      <c r="A52" s="134" t="s">
        <v>52</v>
      </c>
      <c r="B52" s="134"/>
      <c r="C52" s="134"/>
      <c r="D52" s="31">
        <v>44425</v>
      </c>
      <c r="E52" s="16">
        <f t="shared" si="3"/>
        <v>11673.33</v>
      </c>
      <c r="F52" s="32">
        <f t="shared" si="4"/>
        <v>781.67</v>
      </c>
      <c r="G52" s="18">
        <f t="shared" si="5"/>
        <v>12455</v>
      </c>
    </row>
    <row r="53" spans="1:7" x14ac:dyDescent="0.15">
      <c r="A53" s="134" t="s">
        <v>53</v>
      </c>
      <c r="B53" s="134"/>
      <c r="C53" s="134"/>
      <c r="D53" s="31">
        <v>44456</v>
      </c>
      <c r="E53" s="16">
        <f t="shared" si="3"/>
        <v>11673.33</v>
      </c>
      <c r="F53" s="32">
        <f t="shared" si="4"/>
        <v>781.67</v>
      </c>
      <c r="G53" s="18">
        <f t="shared" si="5"/>
        <v>12455</v>
      </c>
    </row>
    <row r="54" spans="1:7" x14ac:dyDescent="0.15">
      <c r="A54" s="134" t="s">
        <v>54</v>
      </c>
      <c r="B54" s="134"/>
      <c r="C54" s="134"/>
      <c r="D54" s="31">
        <v>44486</v>
      </c>
      <c r="E54" s="16">
        <f t="shared" si="3"/>
        <v>11673.33</v>
      </c>
      <c r="F54" s="32">
        <f t="shared" si="4"/>
        <v>781.67</v>
      </c>
      <c r="G54" s="18">
        <f t="shared" si="5"/>
        <v>12455</v>
      </c>
    </row>
    <row r="55" spans="1:7" x14ac:dyDescent="0.15">
      <c r="A55" s="134" t="s">
        <v>55</v>
      </c>
      <c r="B55" s="134"/>
      <c r="C55" s="134"/>
      <c r="D55" s="31">
        <v>44517</v>
      </c>
      <c r="E55" s="16">
        <f t="shared" si="3"/>
        <v>11673.33</v>
      </c>
      <c r="F55" s="32">
        <f t="shared" si="4"/>
        <v>781.67</v>
      </c>
      <c r="G55" s="18">
        <f t="shared" si="5"/>
        <v>12455</v>
      </c>
    </row>
    <row r="56" spans="1:7" x14ac:dyDescent="0.15">
      <c r="A56" s="134" t="s">
        <v>56</v>
      </c>
      <c r="B56" s="134"/>
      <c r="C56" s="134"/>
      <c r="D56" s="31">
        <v>44547</v>
      </c>
      <c r="E56" s="16">
        <f t="shared" si="3"/>
        <v>11673.33</v>
      </c>
      <c r="F56" s="32">
        <f t="shared" si="4"/>
        <v>781.67</v>
      </c>
      <c r="G56" s="18">
        <f t="shared" si="5"/>
        <v>12455</v>
      </c>
    </row>
    <row r="57" spans="1:7" x14ac:dyDescent="0.15">
      <c r="A57" s="134" t="s">
        <v>57</v>
      </c>
      <c r="B57" s="134"/>
      <c r="C57" s="134"/>
      <c r="D57" s="31">
        <v>44578</v>
      </c>
      <c r="E57" s="16">
        <f t="shared" si="3"/>
        <v>11673.33</v>
      </c>
      <c r="F57" s="32">
        <f t="shared" si="4"/>
        <v>781.67</v>
      </c>
      <c r="G57" s="18">
        <f t="shared" si="5"/>
        <v>12455</v>
      </c>
    </row>
    <row r="58" spans="1:7" x14ac:dyDescent="0.15">
      <c r="A58" s="134" t="s">
        <v>58</v>
      </c>
      <c r="B58" s="134"/>
      <c r="C58" s="134"/>
      <c r="D58" s="31">
        <v>44609</v>
      </c>
      <c r="E58" s="16">
        <f t="shared" si="3"/>
        <v>11673.33</v>
      </c>
      <c r="F58" s="32">
        <f t="shared" si="4"/>
        <v>781.67</v>
      </c>
      <c r="G58" s="18">
        <f t="shared" si="5"/>
        <v>12455</v>
      </c>
    </row>
    <row r="59" spans="1:7" x14ac:dyDescent="0.15">
      <c r="A59" s="134" t="s">
        <v>59</v>
      </c>
      <c r="B59" s="134"/>
      <c r="C59" s="134"/>
      <c r="D59" s="31">
        <v>44637</v>
      </c>
      <c r="E59" s="16">
        <f t="shared" si="3"/>
        <v>11673.33</v>
      </c>
      <c r="F59" s="32">
        <f t="shared" si="4"/>
        <v>781.67</v>
      </c>
      <c r="G59" s="18">
        <f t="shared" si="5"/>
        <v>12455</v>
      </c>
    </row>
    <row r="60" spans="1:7" x14ac:dyDescent="0.15">
      <c r="A60" s="134" t="s">
        <v>60</v>
      </c>
      <c r="B60" s="134"/>
      <c r="C60" s="134"/>
      <c r="D60" s="31">
        <v>44668</v>
      </c>
      <c r="E60" s="16">
        <f t="shared" si="3"/>
        <v>11673.33</v>
      </c>
      <c r="F60" s="32">
        <f t="shared" si="4"/>
        <v>781.67</v>
      </c>
      <c r="G60" s="18">
        <f t="shared" si="5"/>
        <v>12455</v>
      </c>
    </row>
    <row r="61" spans="1:7" x14ac:dyDescent="0.15">
      <c r="A61" s="134" t="s">
        <v>61</v>
      </c>
      <c r="B61" s="134"/>
      <c r="C61" s="134"/>
      <c r="D61" s="31">
        <v>44698</v>
      </c>
      <c r="E61" s="16">
        <f t="shared" si="3"/>
        <v>11673.33</v>
      </c>
      <c r="F61" s="32">
        <f t="shared" si="4"/>
        <v>781.67</v>
      </c>
      <c r="G61" s="18">
        <f t="shared" si="5"/>
        <v>12455</v>
      </c>
    </row>
    <row r="62" spans="1:7" x14ac:dyDescent="0.15">
      <c r="A62" s="134" t="s">
        <v>62</v>
      </c>
      <c r="B62" s="134"/>
      <c r="C62" s="134"/>
      <c r="D62" s="31">
        <v>44729</v>
      </c>
      <c r="E62" s="16">
        <f t="shared" si="3"/>
        <v>11673.33</v>
      </c>
      <c r="F62" s="32">
        <f t="shared" si="4"/>
        <v>781.67</v>
      </c>
      <c r="G62" s="18">
        <f t="shared" si="5"/>
        <v>12455</v>
      </c>
    </row>
    <row r="63" spans="1:7" x14ac:dyDescent="0.15">
      <c r="A63" s="134" t="s">
        <v>63</v>
      </c>
      <c r="B63" s="134"/>
      <c r="C63" s="134"/>
      <c r="D63" s="31">
        <v>44759</v>
      </c>
      <c r="E63" s="16">
        <f>IF($A$39&lt;VALUE(LEFT(A63,2))," ",IF($A$39=VALUE(LEFT(A63,2)),($G$35-$G$36-$G$34)-($E$40*($A$39-1)),E62))</f>
        <v>11673.409999999974</v>
      </c>
      <c r="F63" s="32">
        <f>IF($A$39&lt;VALUE(LEFT(A63,2))," ",IF($A$39=VALUE(LEFT(A63,2)),$G$34-($F$40*($A$39-1)),F62))</f>
        <v>781.59000000000015</v>
      </c>
      <c r="G63" s="18">
        <f>IF($A$39&lt;VALUE(LEFT(A63,2))," ",SUM(E63:F63))</f>
        <v>12454.999999999975</v>
      </c>
    </row>
    <row r="64" spans="1:7" hidden="1" x14ac:dyDescent="0.15">
      <c r="A64" s="134" t="s">
        <v>64</v>
      </c>
      <c r="B64" s="134"/>
      <c r="C64" s="134"/>
      <c r="D64" s="31">
        <v>44775</v>
      </c>
      <c r="E64" s="16" t="str">
        <f t="shared" ref="E64:E73" si="6">IF($A$39&lt;VALUE(LEFT(A64,2))," ",IF($A$39=VALUE(LEFT(A64,2)),($G$35-$G$36-$G$34)-($E$40*($A$39-1)),E63))</f>
        <v xml:space="preserve"> </v>
      </c>
      <c r="F64" s="32" t="str">
        <f t="shared" ref="F64:F73" si="7">IF($A$39&lt;VALUE(LEFT(A64,2))," ",IF($A$39=VALUE(LEFT(A64,2)),$G$34-($F$40*($A$39-1)),F63))</f>
        <v xml:space="preserve"> </v>
      </c>
      <c r="G64" s="18" t="str">
        <f t="shared" ref="G64:G73" si="8">IF($A$39&lt;VALUE(LEFT(A64,2))," ",SUM(E64:F64))</f>
        <v xml:space="preserve"> </v>
      </c>
    </row>
    <row r="65" spans="1:7" hidden="1" x14ac:dyDescent="0.15">
      <c r="A65" s="134" t="s">
        <v>65</v>
      </c>
      <c r="B65" s="134"/>
      <c r="C65" s="134"/>
      <c r="D65" s="31">
        <v>44806</v>
      </c>
      <c r="E65" s="16" t="str">
        <f t="shared" si="6"/>
        <v xml:space="preserve"> </v>
      </c>
      <c r="F65" s="32" t="str">
        <f t="shared" si="7"/>
        <v xml:space="preserve"> </v>
      </c>
      <c r="G65" s="18" t="str">
        <f t="shared" si="8"/>
        <v xml:space="preserve"> </v>
      </c>
    </row>
    <row r="66" spans="1:7" hidden="1" x14ac:dyDescent="0.15">
      <c r="A66" s="134" t="s">
        <v>66</v>
      </c>
      <c r="B66" s="134"/>
      <c r="C66" s="134"/>
      <c r="D66" s="31">
        <v>44836</v>
      </c>
      <c r="E66" s="16" t="str">
        <f t="shared" si="6"/>
        <v xml:space="preserve"> </v>
      </c>
      <c r="F66" s="32" t="str">
        <f t="shared" si="7"/>
        <v xml:space="preserve"> </v>
      </c>
      <c r="G66" s="18" t="str">
        <f t="shared" si="8"/>
        <v xml:space="preserve"> </v>
      </c>
    </row>
    <row r="67" spans="1:7" hidden="1" x14ac:dyDescent="0.15">
      <c r="A67" s="134" t="s">
        <v>67</v>
      </c>
      <c r="B67" s="134"/>
      <c r="C67" s="134"/>
      <c r="D67" s="31">
        <v>44867</v>
      </c>
      <c r="E67" s="16" t="str">
        <f t="shared" si="6"/>
        <v xml:space="preserve"> </v>
      </c>
      <c r="F67" s="32" t="str">
        <f t="shared" si="7"/>
        <v xml:space="preserve"> </v>
      </c>
      <c r="G67" s="18" t="str">
        <f t="shared" si="8"/>
        <v xml:space="preserve"> </v>
      </c>
    </row>
    <row r="68" spans="1:7" hidden="1" x14ac:dyDescent="0.15">
      <c r="A68" s="134" t="s">
        <v>68</v>
      </c>
      <c r="B68" s="134"/>
      <c r="C68" s="134"/>
      <c r="D68" s="31">
        <v>44897</v>
      </c>
      <c r="E68" s="16" t="str">
        <f t="shared" si="6"/>
        <v xml:space="preserve"> </v>
      </c>
      <c r="F68" s="32" t="str">
        <f t="shared" si="7"/>
        <v xml:space="preserve"> </v>
      </c>
      <c r="G68" s="18" t="str">
        <f t="shared" si="8"/>
        <v xml:space="preserve"> </v>
      </c>
    </row>
    <row r="69" spans="1:7" hidden="1" x14ac:dyDescent="0.15">
      <c r="A69" s="134" t="s">
        <v>69</v>
      </c>
      <c r="B69" s="134"/>
      <c r="C69" s="134"/>
      <c r="D69" s="31">
        <v>44928</v>
      </c>
      <c r="E69" s="16" t="str">
        <f t="shared" si="6"/>
        <v xml:space="preserve"> </v>
      </c>
      <c r="F69" s="32" t="str">
        <f t="shared" si="7"/>
        <v xml:space="preserve"> </v>
      </c>
      <c r="G69" s="18" t="str">
        <f t="shared" si="8"/>
        <v xml:space="preserve"> </v>
      </c>
    </row>
    <row r="70" spans="1:7" hidden="1" x14ac:dyDescent="0.15">
      <c r="A70" s="134" t="s">
        <v>70</v>
      </c>
      <c r="B70" s="134"/>
      <c r="C70" s="134"/>
      <c r="D70" s="31">
        <v>44959</v>
      </c>
      <c r="E70" s="16" t="str">
        <f t="shared" si="6"/>
        <v xml:space="preserve"> </v>
      </c>
      <c r="F70" s="32" t="str">
        <f t="shared" si="7"/>
        <v xml:space="preserve"> </v>
      </c>
      <c r="G70" s="18" t="str">
        <f t="shared" si="8"/>
        <v xml:space="preserve"> </v>
      </c>
    </row>
    <row r="71" spans="1:7" hidden="1" x14ac:dyDescent="0.15">
      <c r="A71" s="134" t="s">
        <v>71</v>
      </c>
      <c r="B71" s="134"/>
      <c r="C71" s="134"/>
      <c r="D71" s="31">
        <v>44987</v>
      </c>
      <c r="E71" s="16" t="str">
        <f t="shared" si="6"/>
        <v xml:space="preserve"> </v>
      </c>
      <c r="F71" s="32" t="str">
        <f t="shared" si="7"/>
        <v xml:space="preserve"> </v>
      </c>
      <c r="G71" s="18" t="str">
        <f t="shared" si="8"/>
        <v xml:space="preserve"> </v>
      </c>
    </row>
    <row r="72" spans="1:7" hidden="1" x14ac:dyDescent="0.15">
      <c r="A72" s="134" t="s">
        <v>72</v>
      </c>
      <c r="B72" s="134"/>
      <c r="C72" s="134"/>
      <c r="D72" s="31">
        <v>45018</v>
      </c>
      <c r="E72" s="16" t="str">
        <f t="shared" si="6"/>
        <v xml:space="preserve"> </v>
      </c>
      <c r="F72" s="32" t="str">
        <f t="shared" si="7"/>
        <v xml:space="preserve"> </v>
      </c>
      <c r="G72" s="18" t="str">
        <f t="shared" si="8"/>
        <v xml:space="preserve"> </v>
      </c>
    </row>
    <row r="73" spans="1:7" hidden="1" x14ac:dyDescent="0.15">
      <c r="A73" s="134" t="s">
        <v>73</v>
      </c>
      <c r="B73" s="134"/>
      <c r="C73" s="134"/>
      <c r="D73" s="31">
        <v>45048</v>
      </c>
      <c r="E73" s="16" t="str">
        <f t="shared" si="6"/>
        <v xml:space="preserve"> </v>
      </c>
      <c r="F73" s="32" t="str">
        <f t="shared" si="7"/>
        <v xml:space="preserve"> </v>
      </c>
      <c r="G73" s="18" t="str">
        <f t="shared" si="8"/>
        <v xml:space="preserve"> </v>
      </c>
    </row>
    <row r="74" spans="1:7" hidden="1" x14ac:dyDescent="0.15">
      <c r="A74" s="134" t="s">
        <v>74</v>
      </c>
      <c r="B74" s="134"/>
      <c r="C74" s="134"/>
      <c r="D74" s="31">
        <v>45079</v>
      </c>
      <c r="E74" s="16" t="str">
        <f>IF($A$39&lt;VALUE(LEFT(A74,2))," ",IF($A$39=VALUE(LEFT(A74,2)),($G$35-$G$36-$G$34)-($E$40*($A$39-1)),E73))</f>
        <v xml:space="preserve"> </v>
      </c>
      <c r="F74" s="32" t="str">
        <f>IF($A$39&lt;VALUE(LEFT(A74,2))," ",IF($A$39=VALUE(LEFT(A74,2)),$G$34-($F$40*($A$39-1)),F73))</f>
        <v xml:space="preserve"> </v>
      </c>
      <c r="G74" s="18" t="str">
        <f>IF($A$39&lt;VALUE(LEFT(A74,2))," ",SUM(E74:F74))</f>
        <v xml:space="preserve"> </v>
      </c>
    </row>
    <row r="75" spans="1:7" hidden="1" x14ac:dyDescent="0.15">
      <c r="A75" s="134" t="s">
        <v>75</v>
      </c>
      <c r="B75" s="134"/>
      <c r="C75" s="134"/>
      <c r="D75" s="31">
        <v>45109</v>
      </c>
      <c r="E75" s="16" t="str">
        <f>IF($A$39&lt;VALUE(LEFT(A75,2))," ",IF($A$39=VALUE(LEFT(A75,2)),($G$35-$G$36-$G$34)-($E$40*($A$39-1)),E74))</f>
        <v xml:space="preserve"> </v>
      </c>
      <c r="F75" s="32" t="str">
        <f>IF($A$39&lt;VALUE(LEFT(A75,2))," ",IF($A$39=VALUE(LEFT(A75,2)),$G$34-($F$40*($A$39-1)),F74))</f>
        <v xml:space="preserve"> </v>
      </c>
      <c r="G75" s="18" t="str">
        <f>IF($A$39&lt;VALUE(LEFT(A75,2))," ",SUM(E75:F75))</f>
        <v xml:space="preserve"> </v>
      </c>
    </row>
    <row r="76" spans="1:7" hidden="1" x14ac:dyDescent="0.15">
      <c r="A76" s="143" t="s">
        <v>76</v>
      </c>
      <c r="B76" s="143"/>
      <c r="C76" s="143"/>
      <c r="D76" s="31">
        <v>45140</v>
      </c>
      <c r="E76" s="16" t="str">
        <f t="shared" ref="E76:E91" si="9">IF($A$39&lt;VALUE(LEFT(A76,2))," ",IF($A$39=VALUE(LEFT(A76,2)),($G$35-$G$36-$G$34)-($E$40*($A$39-1)),E75))</f>
        <v xml:space="preserve"> </v>
      </c>
      <c r="F76" s="32" t="str">
        <f t="shared" ref="F76:F91" si="10">IF($A$39&lt;VALUE(LEFT(A76,2))," ",IF($A$39=VALUE(LEFT(A76,2)),$G$34-($F$40*($A$39-1)),F75))</f>
        <v xml:space="preserve"> </v>
      </c>
      <c r="G76" s="18" t="str">
        <f t="shared" ref="G76:G91" si="11">IF($A$39&lt;VALUE(LEFT(A76,2))," ",SUM(E76:F76))</f>
        <v xml:space="preserve"> </v>
      </c>
    </row>
    <row r="77" spans="1:7" hidden="1" x14ac:dyDescent="0.15">
      <c r="A77" s="143" t="s">
        <v>77</v>
      </c>
      <c r="B77" s="143"/>
      <c r="C77" s="143"/>
      <c r="D77" s="31">
        <v>45171</v>
      </c>
      <c r="E77" s="16" t="str">
        <f t="shared" si="9"/>
        <v xml:space="preserve"> </v>
      </c>
      <c r="F77" s="32" t="str">
        <f t="shared" si="10"/>
        <v xml:space="preserve"> </v>
      </c>
      <c r="G77" s="18" t="str">
        <f t="shared" si="11"/>
        <v xml:space="preserve"> </v>
      </c>
    </row>
    <row r="78" spans="1:7" hidden="1" x14ac:dyDescent="0.15">
      <c r="A78" s="143" t="s">
        <v>78</v>
      </c>
      <c r="B78" s="143"/>
      <c r="C78" s="143"/>
      <c r="D78" s="31">
        <v>45201</v>
      </c>
      <c r="E78" s="16" t="str">
        <f t="shared" si="9"/>
        <v xml:space="preserve"> </v>
      </c>
      <c r="F78" s="32" t="str">
        <f t="shared" si="10"/>
        <v xml:space="preserve"> </v>
      </c>
      <c r="G78" s="18" t="str">
        <f t="shared" si="11"/>
        <v xml:space="preserve"> </v>
      </c>
    </row>
    <row r="79" spans="1:7" hidden="1" x14ac:dyDescent="0.15">
      <c r="A79" s="143" t="s">
        <v>79</v>
      </c>
      <c r="B79" s="143"/>
      <c r="C79" s="143"/>
      <c r="D79" s="31">
        <v>45232</v>
      </c>
      <c r="E79" s="16" t="str">
        <f t="shared" si="9"/>
        <v xml:space="preserve"> </v>
      </c>
      <c r="F79" s="32" t="str">
        <f t="shared" si="10"/>
        <v xml:space="preserve"> </v>
      </c>
      <c r="G79" s="18" t="str">
        <f t="shared" si="11"/>
        <v xml:space="preserve"> </v>
      </c>
    </row>
    <row r="80" spans="1:7" hidden="1" x14ac:dyDescent="0.15">
      <c r="A80" s="143" t="s">
        <v>80</v>
      </c>
      <c r="B80" s="143"/>
      <c r="C80" s="143"/>
      <c r="D80" s="31">
        <v>45262</v>
      </c>
      <c r="E80" s="16" t="str">
        <f t="shared" si="9"/>
        <v xml:space="preserve"> </v>
      </c>
      <c r="F80" s="32" t="str">
        <f t="shared" si="10"/>
        <v xml:space="preserve"> </v>
      </c>
      <c r="G80" s="18" t="str">
        <f t="shared" si="11"/>
        <v xml:space="preserve"> </v>
      </c>
    </row>
    <row r="81" spans="1:7" hidden="1" x14ac:dyDescent="0.15">
      <c r="A81" s="143" t="s">
        <v>81</v>
      </c>
      <c r="B81" s="143"/>
      <c r="C81" s="143"/>
      <c r="D81" s="31">
        <v>45293</v>
      </c>
      <c r="E81" s="16" t="str">
        <f t="shared" si="9"/>
        <v xml:space="preserve"> </v>
      </c>
      <c r="F81" s="32" t="str">
        <f t="shared" si="10"/>
        <v xml:space="preserve"> </v>
      </c>
      <c r="G81" s="18" t="str">
        <f t="shared" si="11"/>
        <v xml:space="preserve"> </v>
      </c>
    </row>
    <row r="82" spans="1:7" hidden="1" x14ac:dyDescent="0.15">
      <c r="A82" s="143" t="s">
        <v>82</v>
      </c>
      <c r="B82" s="143"/>
      <c r="C82" s="143"/>
      <c r="D82" s="31">
        <v>45324</v>
      </c>
      <c r="E82" s="16" t="str">
        <f t="shared" si="9"/>
        <v xml:space="preserve"> </v>
      </c>
      <c r="F82" s="32" t="str">
        <f t="shared" si="10"/>
        <v xml:space="preserve"> </v>
      </c>
      <c r="G82" s="18" t="str">
        <f t="shared" si="11"/>
        <v xml:space="preserve"> </v>
      </c>
    </row>
    <row r="83" spans="1:7" hidden="1" x14ac:dyDescent="0.15">
      <c r="A83" s="143" t="s">
        <v>83</v>
      </c>
      <c r="B83" s="143"/>
      <c r="C83" s="143"/>
      <c r="D83" s="31">
        <v>45353</v>
      </c>
      <c r="E83" s="16" t="str">
        <f t="shared" si="9"/>
        <v xml:space="preserve"> </v>
      </c>
      <c r="F83" s="32" t="str">
        <f t="shared" si="10"/>
        <v xml:space="preserve"> </v>
      </c>
      <c r="G83" s="18" t="str">
        <f t="shared" si="11"/>
        <v xml:space="preserve"> </v>
      </c>
    </row>
    <row r="84" spans="1:7" hidden="1" x14ac:dyDescent="0.15">
      <c r="A84" s="143" t="s">
        <v>84</v>
      </c>
      <c r="B84" s="143"/>
      <c r="C84" s="143"/>
      <c r="D84" s="31">
        <v>45384</v>
      </c>
      <c r="E84" s="16" t="str">
        <f t="shared" si="9"/>
        <v xml:space="preserve"> </v>
      </c>
      <c r="F84" s="32" t="str">
        <f t="shared" si="10"/>
        <v xml:space="preserve"> </v>
      </c>
      <c r="G84" s="18" t="str">
        <f t="shared" si="11"/>
        <v xml:space="preserve"> </v>
      </c>
    </row>
    <row r="85" spans="1:7" hidden="1" x14ac:dyDescent="0.15">
      <c r="A85" s="143" t="s">
        <v>85</v>
      </c>
      <c r="B85" s="143"/>
      <c r="C85" s="143"/>
      <c r="D85" s="31">
        <v>45414</v>
      </c>
      <c r="E85" s="16" t="str">
        <f t="shared" si="9"/>
        <v xml:space="preserve"> </v>
      </c>
      <c r="F85" s="32" t="str">
        <f t="shared" si="10"/>
        <v xml:space="preserve"> </v>
      </c>
      <c r="G85" s="18" t="str">
        <f t="shared" si="11"/>
        <v xml:space="preserve"> </v>
      </c>
    </row>
    <row r="86" spans="1:7" hidden="1" x14ac:dyDescent="0.15">
      <c r="A86" s="143" t="s">
        <v>86</v>
      </c>
      <c r="B86" s="143"/>
      <c r="C86" s="143"/>
      <c r="D86" s="31">
        <v>45445</v>
      </c>
      <c r="E86" s="16" t="str">
        <f t="shared" si="9"/>
        <v xml:space="preserve"> </v>
      </c>
      <c r="F86" s="32" t="str">
        <f t="shared" si="10"/>
        <v xml:space="preserve"> </v>
      </c>
      <c r="G86" s="18" t="str">
        <f t="shared" si="11"/>
        <v xml:space="preserve"> </v>
      </c>
    </row>
    <row r="87" spans="1:7" hidden="1" x14ac:dyDescent="0.15">
      <c r="A87" s="143" t="s">
        <v>87</v>
      </c>
      <c r="B87" s="143"/>
      <c r="C87" s="143"/>
      <c r="D87" s="31">
        <v>45475</v>
      </c>
      <c r="E87" s="16" t="str">
        <f t="shared" si="9"/>
        <v xml:space="preserve"> </v>
      </c>
      <c r="F87" s="32" t="str">
        <f t="shared" si="10"/>
        <v xml:space="preserve"> </v>
      </c>
      <c r="G87" s="18" t="str">
        <f t="shared" si="11"/>
        <v xml:space="preserve"> </v>
      </c>
    </row>
    <row r="88" spans="1:7" hidden="1" x14ac:dyDescent="0.15">
      <c r="A88" s="134" t="s">
        <v>88</v>
      </c>
      <c r="B88" s="134"/>
      <c r="C88" s="134"/>
      <c r="D88" s="31">
        <v>45506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4" t="s">
        <v>89</v>
      </c>
      <c r="B89" s="134"/>
      <c r="C89" s="134"/>
      <c r="D89" s="31">
        <v>45537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4" t="s">
        <v>90</v>
      </c>
      <c r="B90" s="134"/>
      <c r="C90" s="134"/>
      <c r="D90" s="31">
        <v>45567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4" t="s">
        <v>91</v>
      </c>
      <c r="B91" s="134"/>
      <c r="C91" s="134"/>
      <c r="D91" s="31">
        <v>45598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2"/>
      <c r="B92" s="122"/>
      <c r="C92" s="122"/>
      <c r="D92" s="31">
        <v>45628</v>
      </c>
      <c r="E92" s="16"/>
      <c r="F92" s="32"/>
      <c r="G92" s="18"/>
    </row>
    <row r="93" spans="1:7" hidden="1" x14ac:dyDescent="0.15">
      <c r="A93" s="122"/>
      <c r="B93" s="122"/>
      <c r="C93" s="122"/>
      <c r="D93" s="31">
        <v>45659</v>
      </c>
      <c r="E93" s="16"/>
      <c r="F93" s="32"/>
      <c r="G93" s="18"/>
    </row>
    <row r="94" spans="1:7" hidden="1" x14ac:dyDescent="0.15">
      <c r="A94" s="122"/>
      <c r="B94" s="122"/>
      <c r="C94" s="122"/>
      <c r="D94" s="31">
        <v>45690</v>
      </c>
      <c r="E94" s="16"/>
      <c r="F94" s="32"/>
      <c r="G94" s="18"/>
    </row>
    <row r="95" spans="1:7" hidden="1" x14ac:dyDescent="0.15">
      <c r="A95" s="122"/>
      <c r="B95" s="122"/>
      <c r="C95" s="122"/>
      <c r="D95" s="31">
        <v>45718</v>
      </c>
      <c r="E95" s="16"/>
      <c r="F95" s="32"/>
      <c r="G95" s="18"/>
    </row>
    <row r="96" spans="1:7" hidden="1" x14ac:dyDescent="0.15">
      <c r="A96" s="122"/>
      <c r="B96" s="122"/>
      <c r="C96" s="122"/>
      <c r="D96" s="31">
        <v>45749</v>
      </c>
      <c r="E96" s="16"/>
      <c r="F96" s="32"/>
      <c r="G96" s="18"/>
    </row>
    <row r="97" spans="1:9" hidden="1" x14ac:dyDescent="0.15">
      <c r="A97" s="122"/>
      <c r="B97" s="122"/>
      <c r="C97" s="122"/>
      <c r="D97" s="31">
        <v>45779</v>
      </c>
      <c r="E97" s="16"/>
      <c r="F97" s="32"/>
      <c r="G97" s="18"/>
    </row>
    <row r="98" spans="1:9" hidden="1" x14ac:dyDescent="0.15">
      <c r="A98" s="122"/>
      <c r="B98" s="122"/>
      <c r="C98" s="122"/>
      <c r="D98" s="31">
        <v>45810</v>
      </c>
      <c r="E98" s="16"/>
      <c r="F98" s="32"/>
      <c r="G98" s="18"/>
    </row>
    <row r="99" spans="1:9" hidden="1" x14ac:dyDescent="0.15">
      <c r="A99" s="122"/>
      <c r="B99" s="122"/>
      <c r="C99" s="122"/>
      <c r="D99" s="31">
        <v>45840</v>
      </c>
      <c r="E99" s="16"/>
      <c r="F99" s="32"/>
      <c r="G99" s="18"/>
    </row>
    <row r="100" spans="1:9" hidden="1" x14ac:dyDescent="0.15">
      <c r="A100" s="122"/>
      <c r="B100" s="122"/>
      <c r="C100" s="122"/>
      <c r="D100" s="31">
        <v>45871</v>
      </c>
      <c r="E100" s="16"/>
      <c r="F100" s="32"/>
      <c r="G100" s="18"/>
    </row>
    <row r="101" spans="1:9" hidden="1" x14ac:dyDescent="0.15">
      <c r="A101" s="122"/>
      <c r="B101" s="122"/>
      <c r="C101" s="122"/>
      <c r="D101" s="31">
        <v>45902</v>
      </c>
      <c r="E101" s="16"/>
      <c r="F101" s="32"/>
      <c r="G101" s="18"/>
    </row>
    <row r="102" spans="1:9" hidden="1" x14ac:dyDescent="0.15">
      <c r="A102" s="122"/>
      <c r="B102" s="122"/>
      <c r="C102" s="122"/>
      <c r="D102" s="31">
        <v>45932</v>
      </c>
      <c r="E102" s="16"/>
      <c r="F102" s="32"/>
      <c r="G102" s="18"/>
    </row>
    <row r="103" spans="1:9" hidden="1" x14ac:dyDescent="0.15">
      <c r="A103" s="122"/>
      <c r="B103" s="122"/>
      <c r="C103" s="122"/>
      <c r="D103" s="31">
        <v>45963</v>
      </c>
      <c r="E103" s="16"/>
      <c r="F103" s="32"/>
      <c r="G103" s="18"/>
    </row>
    <row r="104" spans="1:9" hidden="1" x14ac:dyDescent="0.15">
      <c r="A104" s="122"/>
      <c r="B104" s="122"/>
      <c r="C104" s="122"/>
      <c r="D104" s="31">
        <v>45993</v>
      </c>
      <c r="E104" s="16"/>
      <c r="F104" s="32"/>
      <c r="G104" s="18"/>
    </row>
    <row r="105" spans="1:9" x14ac:dyDescent="0.15">
      <c r="A105" s="122"/>
      <c r="B105" s="122"/>
      <c r="C105" s="122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hidden="1" x14ac:dyDescent="0.15">
      <c r="B108" s="1" t="s">
        <v>93</v>
      </c>
      <c r="F108" s="36">
        <f>D58</f>
        <v>44609</v>
      </c>
    </row>
    <row r="109" spans="1:9" x14ac:dyDescent="0.15">
      <c r="B109" s="1" t="s">
        <v>94</v>
      </c>
      <c r="F109" s="36">
        <f>D63+31</f>
        <v>44790</v>
      </c>
      <c r="G109" s="37">
        <f>ROUND(((G24+G25)*((100-A33)/100))+(G29*(100-A33)/100),2)</f>
        <v>1275680</v>
      </c>
      <c r="I109" s="18"/>
    </row>
    <row r="110" spans="1:9" hidden="1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44" t="s">
        <v>97</v>
      </c>
      <c r="B113" s="144"/>
      <c r="C113" s="144"/>
      <c r="D113" s="144"/>
      <c r="E113" s="144"/>
      <c r="F113" s="144"/>
      <c r="G113" s="144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6" t="s">
        <v>101</v>
      </c>
      <c r="B117" s="39"/>
      <c r="C117" s="39"/>
      <c r="D117" s="39"/>
    </row>
    <row r="118" spans="1:7" x14ac:dyDescent="0.15">
      <c r="A118" s="126" t="s">
        <v>102</v>
      </c>
      <c r="B118" s="39"/>
      <c r="C118" s="39"/>
      <c r="D118" s="39"/>
    </row>
    <row r="119" spans="1:7" x14ac:dyDescent="0.15">
      <c r="A119" s="126" t="s">
        <v>103</v>
      </c>
      <c r="B119" s="39"/>
      <c r="C119" s="39"/>
      <c r="D119" s="39"/>
    </row>
    <row r="120" spans="1:7" x14ac:dyDescent="0.15">
      <c r="A120" s="126" t="s">
        <v>104</v>
      </c>
      <c r="B120" s="39"/>
      <c r="C120" s="39"/>
      <c r="D120" s="39"/>
    </row>
    <row r="121" spans="1:7" x14ac:dyDescent="0.15">
      <c r="A121" s="126" t="s">
        <v>105</v>
      </c>
      <c r="B121" s="39"/>
      <c r="C121" s="39"/>
      <c r="D121" s="39"/>
    </row>
    <row r="122" spans="1:7" x14ac:dyDescent="0.15">
      <c r="A122" s="144" t="s">
        <v>106</v>
      </c>
      <c r="B122" s="144"/>
      <c r="C122" s="144"/>
      <c r="D122" s="144"/>
      <c r="E122" s="144"/>
      <c r="F122" s="144"/>
      <c r="G122" s="144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1">
    <mergeCell ref="A122:G122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13:G113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  <mergeCell ref="B4:F4"/>
  </mergeCells>
  <phoneticPr fontId="16" type="noConversion"/>
  <conditionalFormatting sqref="B11 B25">
    <cfRule type="expression" dxfId="49" priority="2" stopIfTrue="1">
      <formula>G11=0</formula>
    </cfRule>
  </conditionalFormatting>
  <conditionalFormatting sqref="A41:C48">
    <cfRule type="expression" dxfId="48" priority="3" stopIfTrue="1">
      <formula>VALUE(NoDPSchedule)&lt;VALUE(LEFT(A41,1))</formula>
    </cfRule>
  </conditionalFormatting>
  <conditionalFormatting sqref="A49:C105">
    <cfRule type="expression" dxfId="47" priority="4" stopIfTrue="1">
      <formula>VALUE(NoDPSchedule)&lt;VALUE(LEFT(A49,2))</formula>
    </cfRule>
  </conditionalFormatting>
  <conditionalFormatting sqref="G11 G25">
    <cfRule type="expression" dxfId="46" priority="5" stopIfTrue="1">
      <formula>G11=0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portrait" horizontalDpi="4294967294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29"/>
  <sheetViews>
    <sheetView topLeftCell="A84" workbookViewId="0">
      <selection activeCell="K104" sqref="K104"/>
    </sheetView>
  </sheetViews>
  <sheetFormatPr baseColWidth="10" defaultColWidth="12.33203125" defaultRowHeight="13" x14ac:dyDescent="0.15"/>
  <cols>
    <col min="1" max="3" width="12.33203125" style="41"/>
    <col min="4" max="4" width="17" style="41" customWidth="1"/>
    <col min="5" max="5" width="12.33203125" style="41"/>
    <col min="6" max="6" width="39.1640625" style="41" customWidth="1"/>
    <col min="7" max="7" width="18.6640625" style="41" customWidth="1"/>
    <col min="8" max="9" width="13.6640625" style="41" hidden="1" customWidth="1"/>
    <col min="10" max="10" width="13.6640625" style="41" customWidth="1"/>
    <col min="11" max="16384" width="12.33203125" style="41"/>
  </cols>
  <sheetData>
    <row r="1" spans="1:11" ht="14.25" customHeight="1" thickTop="1" x14ac:dyDescent="0.2">
      <c r="A1" s="83"/>
      <c r="B1" s="157" t="s">
        <v>0</v>
      </c>
      <c r="C1" s="157"/>
      <c r="D1" s="157"/>
      <c r="E1" s="157"/>
      <c r="F1" s="157"/>
      <c r="G1" s="82"/>
    </row>
    <row r="2" spans="1:11" ht="14.25" customHeight="1" x14ac:dyDescent="0.15">
      <c r="A2" s="81"/>
      <c r="B2" s="158" t="s">
        <v>1</v>
      </c>
      <c r="C2" s="158"/>
      <c r="D2" s="158"/>
      <c r="E2" s="158"/>
      <c r="F2" s="158"/>
      <c r="G2" s="80"/>
    </row>
    <row r="3" spans="1:11" ht="30" customHeight="1" x14ac:dyDescent="0.15">
      <c r="A3" s="137" t="s">
        <v>2</v>
      </c>
      <c r="B3" s="138"/>
      <c r="C3" s="138"/>
      <c r="D3" s="138"/>
      <c r="E3" s="138"/>
      <c r="F3" s="138"/>
      <c r="G3" s="139"/>
    </row>
    <row r="4" spans="1:11" ht="15" customHeight="1" thickBot="1" x14ac:dyDescent="0.2">
      <c r="A4" s="79">
        <f>IF(A48&lt;=12,12,A48)</f>
        <v>48</v>
      </c>
      <c r="B4" s="78"/>
      <c r="C4" s="78"/>
      <c r="D4" s="98" t="s">
        <v>115</v>
      </c>
      <c r="E4" s="78"/>
      <c r="F4" s="78"/>
      <c r="G4" s="77"/>
    </row>
    <row r="5" spans="1:11" ht="13.5" customHeight="1" thickTop="1" x14ac:dyDescent="0.15">
      <c r="G5" s="76">
        <v>24</v>
      </c>
    </row>
    <row r="6" spans="1:11" x14ac:dyDescent="0.15">
      <c r="A6" s="130" t="s">
        <v>4</v>
      </c>
      <c r="B6" s="130" t="s">
        <v>5</v>
      </c>
      <c r="C6" s="130" t="s">
        <v>6</v>
      </c>
      <c r="D6" s="130" t="s">
        <v>7</v>
      </c>
      <c r="E6" s="130"/>
      <c r="F6" s="159" t="s">
        <v>8</v>
      </c>
      <c r="G6" s="159"/>
    </row>
    <row r="7" spans="1:11" x14ac:dyDescent="0.15">
      <c r="A7" s="131">
        <f>'TEMPLATE ONLY-ENCODE DETAILS'!A7</f>
        <v>1</v>
      </c>
      <c r="B7" s="131">
        <f>'TEMPLATE ONLY-ENCODE DETAILS'!B7</f>
        <v>28</v>
      </c>
      <c r="C7" s="131" t="str">
        <f>'TEMPLATE ONLY-ENCODE DETAILS'!C7</f>
        <v>2P</v>
      </c>
      <c r="D7" s="131">
        <f>'TEMPLATE ONLY-ENCODE DETAILS'!D7</f>
        <v>12.5</v>
      </c>
      <c r="E7" s="131"/>
      <c r="F7" s="160" t="str">
        <f>'TEMPLATE ONLY-ENCODE DETAILS'!F7:G7</f>
        <v>COVERED PARKING</v>
      </c>
      <c r="G7" s="160"/>
    </row>
    <row r="8" spans="1:11" ht="12.75" customHeight="1" x14ac:dyDescent="0.15"/>
    <row r="9" spans="1:11" ht="12.75" customHeight="1" x14ac:dyDescent="0.15"/>
    <row r="10" spans="1:11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1500800</v>
      </c>
    </row>
    <row r="11" spans="1:1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160800</v>
      </c>
      <c r="H11" s="101">
        <f>G10-G11</f>
        <v>1340000</v>
      </c>
      <c r="I11" s="95"/>
      <c r="J11" s="95"/>
    </row>
    <row r="12" spans="1:11" hidden="1" x14ac:dyDescent="0.15">
      <c r="A12" s="62"/>
      <c r="B12" s="41" t="s">
        <v>133</v>
      </c>
      <c r="F12" s="72"/>
      <c r="G12" s="45"/>
      <c r="H12" s="101">
        <f>G11+G23</f>
        <v>160800</v>
      </c>
      <c r="I12" s="45">
        <f>SUM(G12:G23)</f>
        <v>0</v>
      </c>
      <c r="J12" s="45"/>
      <c r="K12" s="45"/>
    </row>
    <row r="13" spans="1:11" hidden="1" x14ac:dyDescent="0.15">
      <c r="B13" s="41" t="s">
        <v>14</v>
      </c>
      <c r="I13" s="45"/>
      <c r="J13" s="45"/>
    </row>
    <row r="14" spans="1:11" hidden="1" x14ac:dyDescent="0.15">
      <c r="B14" s="41" t="s">
        <v>15</v>
      </c>
      <c r="G14" s="45"/>
      <c r="I14" s="45"/>
      <c r="J14" s="45"/>
    </row>
    <row r="15" spans="1:11" hidden="1" x14ac:dyDescent="0.15">
      <c r="B15" s="41" t="s">
        <v>16</v>
      </c>
      <c r="G15" s="45"/>
      <c r="I15" s="45"/>
    </row>
    <row r="16" spans="1:11" ht="14" hidden="1" x14ac:dyDescent="0.2">
      <c r="B16" s="41" t="s">
        <v>18</v>
      </c>
      <c r="D16" s="38" t="s">
        <v>120</v>
      </c>
      <c r="E16"/>
      <c r="F16"/>
      <c r="G16" s="45"/>
      <c r="H16" s="95">
        <f>G10-H12</f>
        <v>1340000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/>
      <c r="H18" s="45"/>
      <c r="I18" s="45"/>
      <c r="J18" s="45"/>
    </row>
    <row r="19" spans="1:10" hidden="1" x14ac:dyDescent="0.15">
      <c r="B19" s="41" t="s">
        <v>21</v>
      </c>
      <c r="G19" s="45"/>
      <c r="J19" s="45"/>
    </row>
    <row r="20" spans="1:10" hidden="1" x14ac:dyDescent="0.15">
      <c r="B20" s="41" t="s">
        <v>22</v>
      </c>
      <c r="G20" s="45"/>
      <c r="J20" s="45"/>
    </row>
    <row r="21" spans="1:10" hidden="1" x14ac:dyDescent="0.15">
      <c r="B21" s="41" t="s">
        <v>23</v>
      </c>
      <c r="G21" s="45"/>
      <c r="J21" s="45"/>
    </row>
    <row r="22" spans="1:10" hidden="1" x14ac:dyDescent="0.15">
      <c r="B22" s="41" t="s">
        <v>24</v>
      </c>
      <c r="G22" s="45"/>
      <c r="J22" s="45"/>
    </row>
    <row r="23" spans="1:10" hidden="1" x14ac:dyDescent="0.15">
      <c r="A23" s="62">
        <v>10</v>
      </c>
      <c r="B23" s="1" t="s">
        <v>131</v>
      </c>
      <c r="C23" s="1"/>
      <c r="D23" s="22" t="s">
        <v>132</v>
      </c>
      <c r="E23" s="1"/>
      <c r="F23" s="15"/>
      <c r="G23" s="45"/>
      <c r="H23" s="45"/>
      <c r="I23" s="45"/>
      <c r="J23" s="45"/>
    </row>
    <row r="24" spans="1:10" ht="13.5" customHeight="1" thickBot="1" x14ac:dyDescent="0.2">
      <c r="F24" s="72"/>
      <c r="G24" s="71"/>
      <c r="J24" s="45"/>
    </row>
    <row r="25" spans="1:10" ht="13.5" customHeight="1" thickTop="1" x14ac:dyDescent="0.15">
      <c r="A25" s="68" t="s">
        <v>25</v>
      </c>
      <c r="B25" s="70"/>
      <c r="C25" s="67"/>
      <c r="D25" s="67"/>
      <c r="E25" s="67"/>
      <c r="F25" s="65" t="s">
        <v>11</v>
      </c>
      <c r="G25" s="64">
        <f>(G10-G11)-SUM(G12:G23)</f>
        <v>1340000</v>
      </c>
    </row>
    <row r="26" spans="1:10" x14ac:dyDescent="0.15">
      <c r="A26" s="41" t="s">
        <v>26</v>
      </c>
      <c r="B26" s="41" t="s">
        <v>13</v>
      </c>
      <c r="G26" s="45">
        <f>ROUND(IF(ISERROR(FIND("PARKING",Model,1)),IF(G25&gt;3199200,G25*12%,0),G25*12%),2)</f>
        <v>160800</v>
      </c>
      <c r="I26" s="45"/>
    </row>
    <row r="27" spans="1:10" hidden="1" x14ac:dyDescent="0.15">
      <c r="A27" s="62">
        <v>7</v>
      </c>
      <c r="B27" s="41" t="s">
        <v>27</v>
      </c>
      <c r="G27" s="45">
        <f>ROUND(G25*(A27/100),2)</f>
        <v>93800</v>
      </c>
    </row>
    <row r="28" spans="1:10" hidden="1" x14ac:dyDescent="0.15">
      <c r="A28" s="62"/>
      <c r="B28" s="41" t="s">
        <v>28</v>
      </c>
      <c r="F28" s="62">
        <f>IF(G28&gt;50000,50000,G28)</f>
        <v>0</v>
      </c>
      <c r="G28" s="45">
        <v>0</v>
      </c>
    </row>
    <row r="29" spans="1:10" hidden="1" x14ac:dyDescent="0.15">
      <c r="A29" s="62"/>
      <c r="B29" s="41" t="s">
        <v>29</v>
      </c>
      <c r="G29" s="45">
        <v>0</v>
      </c>
    </row>
    <row r="30" spans="1:10" ht="13.5" customHeight="1" thickBot="1" x14ac:dyDescent="0.2">
      <c r="A30" s="62"/>
      <c r="B30" s="41" t="s">
        <v>27</v>
      </c>
      <c r="G30" s="45">
        <f>ROUND(SUM(G27,G29,F28),2)</f>
        <v>93800</v>
      </c>
    </row>
    <row r="31" spans="1:10" ht="13.5" customHeight="1" thickTop="1" x14ac:dyDescent="0.15">
      <c r="A31" s="68" t="s">
        <v>30</v>
      </c>
      <c r="B31" s="67"/>
      <c r="C31" s="67"/>
      <c r="D31" s="67"/>
      <c r="E31" s="67"/>
      <c r="F31" s="65" t="s">
        <v>11</v>
      </c>
      <c r="G31" s="64">
        <f>G25+SUM(G26,G30)</f>
        <v>1594600</v>
      </c>
    </row>
    <row r="32" spans="1:10" ht="12.75" customHeight="1" x14ac:dyDescent="0.15"/>
    <row r="33" spans="1:10" x14ac:dyDescent="0.15">
      <c r="A33" s="48" t="s">
        <v>31</v>
      </c>
    </row>
    <row r="34" spans="1:10" x14ac:dyDescent="0.15">
      <c r="A34" s="69">
        <v>20</v>
      </c>
      <c r="B34" s="41" t="str">
        <f>CONCATENATE("Downpayment ("&amp;A34&amp;"% of Selling Price)")</f>
        <v>Downpayment (20% of Selling Price)</v>
      </c>
      <c r="G34" s="45">
        <f>ROUND((G25+G26)*(A34/100),2)</f>
        <v>300160</v>
      </c>
    </row>
    <row r="35" spans="1:10" ht="13.5" customHeight="1" thickBot="1" x14ac:dyDescent="0.2">
      <c r="A35" s="48"/>
      <c r="B35" s="41" t="s">
        <v>32</v>
      </c>
      <c r="G35" s="45">
        <f>ROUND(G30*(A34/100),2)</f>
        <v>18760</v>
      </c>
    </row>
    <row r="36" spans="1:10" ht="13.5" customHeight="1" thickTop="1" x14ac:dyDescent="0.15">
      <c r="A36" s="68" t="s">
        <v>33</v>
      </c>
      <c r="B36" s="67"/>
      <c r="C36" s="67"/>
      <c r="D36" s="67"/>
      <c r="E36" s="67"/>
      <c r="F36" s="65" t="s">
        <v>11</v>
      </c>
      <c r="G36" s="64">
        <f>SUM(G34:G35)</f>
        <v>318920</v>
      </c>
    </row>
    <row r="37" spans="1:10" ht="13.5" customHeight="1" thickBot="1" x14ac:dyDescent="0.2">
      <c r="A37" s="41" t="s">
        <v>12</v>
      </c>
      <c r="B37" s="41" t="s">
        <v>34</v>
      </c>
      <c r="F37" s="50">
        <f ca="1">NOW()</f>
        <v>44075.451322222223</v>
      </c>
      <c r="G37" s="45">
        <v>20000</v>
      </c>
    </row>
    <row r="38" spans="1:10" ht="13.5" customHeight="1" thickTop="1" x14ac:dyDescent="0.15">
      <c r="A38" s="68" t="s">
        <v>35</v>
      </c>
      <c r="B38" s="67"/>
      <c r="C38" s="67"/>
      <c r="D38" s="67"/>
      <c r="E38" s="66"/>
      <c r="F38" s="65" t="s">
        <v>11</v>
      </c>
      <c r="G38" s="64">
        <f>G36-G37</f>
        <v>298920</v>
      </c>
    </row>
    <row r="39" spans="1:10" ht="12.75" customHeight="1" x14ac:dyDescent="0.15"/>
    <row r="40" spans="1:10" x14ac:dyDescent="0.15">
      <c r="A40" s="62">
        <v>10</v>
      </c>
      <c r="B40" s="41" t="str">
        <f>CONCATENATE("Spot Downpayment (" &amp;A40&amp;"% of Selling Price)")</f>
        <v>Spot Downpayment (10% of Selling Price)</v>
      </c>
      <c r="E40" s="51"/>
      <c r="F40" s="50"/>
      <c r="G40" s="45">
        <f>ROUND((SUM(G25:G26)*(A40/100))-G37,2)</f>
        <v>130080</v>
      </c>
      <c r="H40" s="45"/>
      <c r="I40" s="45"/>
      <c r="J40" s="63"/>
    </row>
    <row r="41" spans="1:10" ht="13.5" customHeight="1" thickBot="1" x14ac:dyDescent="0.2">
      <c r="B41" s="41" t="s">
        <v>27</v>
      </c>
      <c r="E41" s="51"/>
      <c r="F41" s="50"/>
      <c r="G41" s="45">
        <f>ROUND(G30*(A40/100),2)</f>
        <v>9380</v>
      </c>
      <c r="J41" s="45"/>
    </row>
    <row r="42" spans="1:10" ht="13.5" customHeight="1" thickTop="1" x14ac:dyDescent="0.15">
      <c r="B42" s="44" t="s">
        <v>122</v>
      </c>
      <c r="E42" s="51"/>
      <c r="F42" s="106">
        <f ca="1">F37+30</f>
        <v>44105.451322222223</v>
      </c>
      <c r="G42" s="61">
        <f>SUM(G40:G41)</f>
        <v>139460</v>
      </c>
    </row>
    <row r="43" spans="1:10" x14ac:dyDescent="0.15">
      <c r="B43" s="52"/>
      <c r="E43" s="51"/>
      <c r="F43" s="50"/>
      <c r="G43" s="49"/>
    </row>
    <row r="44" spans="1:10" x14ac:dyDescent="0.15">
      <c r="A44" s="62">
        <f>A34-A40</f>
        <v>10</v>
      </c>
      <c r="B44" s="60" t="str">
        <f>CONCATENATE("Streched Downpayment (" &amp; A44 &amp;"% of Selling Price)")</f>
        <v>Streched Downpayment (10% of Selling Price)</v>
      </c>
      <c r="E44" s="51"/>
      <c r="F44" s="50"/>
      <c r="G44" s="45">
        <f>G34-G40-ReservationFee</f>
        <v>150080</v>
      </c>
    </row>
    <row r="45" spans="1:10" ht="13.5" customHeight="1" thickBot="1" x14ac:dyDescent="0.2">
      <c r="B45" s="60" t="s">
        <v>27</v>
      </c>
      <c r="E45" s="51"/>
      <c r="F45" s="50"/>
      <c r="G45" s="45">
        <f>SUM(G35:G35)-G41</f>
        <v>9380</v>
      </c>
    </row>
    <row r="46" spans="1:10" ht="13.5" customHeight="1" thickTop="1" x14ac:dyDescent="0.15">
      <c r="B46" s="44" t="str">
        <f>CONCATENATE("Total Streched DP and Other Charges payable in " &amp; A48 &amp; " months")</f>
        <v>Total Streched DP and Other Charges payable in 48 months</v>
      </c>
      <c r="E46" s="51"/>
      <c r="F46" s="50"/>
      <c r="G46" s="61">
        <f>SUM(G44:G45)</f>
        <v>159460</v>
      </c>
    </row>
    <row r="47" spans="1:10" x14ac:dyDescent="0.15">
      <c r="B47" s="60"/>
      <c r="E47" s="51"/>
      <c r="F47" s="50"/>
      <c r="G47" s="49"/>
    </row>
    <row r="48" spans="1:10" ht="25.5" customHeight="1" x14ac:dyDescent="0.15">
      <c r="A48" s="59">
        <v>48</v>
      </c>
      <c r="B48" s="156" t="s">
        <v>36</v>
      </c>
      <c r="C48" s="156"/>
      <c r="D48" s="129" t="s">
        <v>37</v>
      </c>
      <c r="E48" s="58" t="s">
        <v>38</v>
      </c>
      <c r="F48" s="57" t="s">
        <v>27</v>
      </c>
      <c r="G48" s="56" t="s">
        <v>39</v>
      </c>
    </row>
    <row r="49" spans="1:7" x14ac:dyDescent="0.15">
      <c r="A49" s="155" t="s">
        <v>40</v>
      </c>
      <c r="B49" s="155"/>
      <c r="C49" s="155"/>
      <c r="D49" s="31">
        <v>44137</v>
      </c>
      <c r="E49" s="54">
        <f>ROUND(G44/A48,2)</f>
        <v>3126.67</v>
      </c>
      <c r="F49" s="53">
        <f>ROUND(G45/A48,2)</f>
        <v>195.42</v>
      </c>
      <c r="G49" s="45">
        <f>SUM(E49:F49)</f>
        <v>3322.09</v>
      </c>
    </row>
    <row r="50" spans="1:7" x14ac:dyDescent="0.15">
      <c r="A50" s="155" t="s">
        <v>41</v>
      </c>
      <c r="B50" s="155"/>
      <c r="C50" s="155"/>
      <c r="D50" s="31">
        <v>44167</v>
      </c>
      <c r="E50" s="54">
        <f t="shared" ref="E50:E57" si="0">IF($A$48&lt;VALUE(LEFT(A50,1))," ",IF($A$48=VALUE(LEFT(A50,1)),$G$44-($E$49*($A$48-1)),E49))</f>
        <v>3126.67</v>
      </c>
      <c r="F50" s="53">
        <f t="shared" ref="F50:F57" si="1">IF($A$48&lt;VALUE(LEFT(A50,1))," ",IF($A$48=VALUE(LEFT(A50,1)),$G$45-($F$49*($A$48-1)),F49))</f>
        <v>195.42</v>
      </c>
      <c r="G50" s="45">
        <f t="shared" ref="G50:G57" si="2">IF($A$48&lt;VALUE(LEFT(A50,1))," ",SUM(E50:F50))</f>
        <v>3322.09</v>
      </c>
    </row>
    <row r="51" spans="1:7" x14ac:dyDescent="0.15">
      <c r="A51" s="155" t="s">
        <v>42</v>
      </c>
      <c r="B51" s="155"/>
      <c r="C51" s="155"/>
      <c r="D51" s="31">
        <v>44198</v>
      </c>
      <c r="E51" s="54">
        <f t="shared" si="0"/>
        <v>3126.67</v>
      </c>
      <c r="F51" s="53">
        <f t="shared" si="1"/>
        <v>195.42</v>
      </c>
      <c r="G51" s="45">
        <f t="shared" si="2"/>
        <v>3322.09</v>
      </c>
    </row>
    <row r="52" spans="1:7" x14ac:dyDescent="0.15">
      <c r="A52" s="155" t="s">
        <v>43</v>
      </c>
      <c r="B52" s="155"/>
      <c r="C52" s="155"/>
      <c r="D52" s="31">
        <v>44229</v>
      </c>
      <c r="E52" s="54">
        <f t="shared" si="0"/>
        <v>3126.67</v>
      </c>
      <c r="F52" s="53">
        <f t="shared" si="1"/>
        <v>195.42</v>
      </c>
      <c r="G52" s="45">
        <f t="shared" si="2"/>
        <v>3322.09</v>
      </c>
    </row>
    <row r="53" spans="1:7" x14ac:dyDescent="0.15">
      <c r="A53" s="155" t="s">
        <v>44</v>
      </c>
      <c r="B53" s="155"/>
      <c r="C53" s="155"/>
      <c r="D53" s="31">
        <v>44257</v>
      </c>
      <c r="E53" s="54">
        <f t="shared" si="0"/>
        <v>3126.67</v>
      </c>
      <c r="F53" s="53">
        <f t="shared" si="1"/>
        <v>195.42</v>
      </c>
      <c r="G53" s="45">
        <f t="shared" si="2"/>
        <v>3322.09</v>
      </c>
    </row>
    <row r="54" spans="1:7" x14ac:dyDescent="0.15">
      <c r="A54" s="155" t="s">
        <v>45</v>
      </c>
      <c r="B54" s="155"/>
      <c r="C54" s="155"/>
      <c r="D54" s="31">
        <v>44288</v>
      </c>
      <c r="E54" s="54">
        <f t="shared" si="0"/>
        <v>3126.67</v>
      </c>
      <c r="F54" s="53">
        <f t="shared" si="1"/>
        <v>195.42</v>
      </c>
      <c r="G54" s="45">
        <f t="shared" si="2"/>
        <v>3322.09</v>
      </c>
    </row>
    <row r="55" spans="1:7" x14ac:dyDescent="0.15">
      <c r="A55" s="155" t="s">
        <v>46</v>
      </c>
      <c r="B55" s="155"/>
      <c r="C55" s="155"/>
      <c r="D55" s="31">
        <v>44318</v>
      </c>
      <c r="E55" s="54">
        <f t="shared" si="0"/>
        <v>3126.67</v>
      </c>
      <c r="F55" s="53">
        <f t="shared" si="1"/>
        <v>195.42</v>
      </c>
      <c r="G55" s="45">
        <f t="shared" si="2"/>
        <v>3322.09</v>
      </c>
    </row>
    <row r="56" spans="1:7" x14ac:dyDescent="0.15">
      <c r="A56" s="155" t="s">
        <v>47</v>
      </c>
      <c r="B56" s="155"/>
      <c r="C56" s="155"/>
      <c r="D56" s="31">
        <v>44349</v>
      </c>
      <c r="E56" s="54">
        <f t="shared" si="0"/>
        <v>3126.67</v>
      </c>
      <c r="F56" s="53">
        <f t="shared" si="1"/>
        <v>195.42</v>
      </c>
      <c r="G56" s="45">
        <f t="shared" si="2"/>
        <v>3322.09</v>
      </c>
    </row>
    <row r="57" spans="1:7" x14ac:dyDescent="0.15">
      <c r="A57" s="155" t="s">
        <v>48</v>
      </c>
      <c r="B57" s="155"/>
      <c r="C57" s="155"/>
      <c r="D57" s="31">
        <v>44379</v>
      </c>
      <c r="E57" s="54">
        <f t="shared" si="0"/>
        <v>3126.67</v>
      </c>
      <c r="F57" s="53">
        <f t="shared" si="1"/>
        <v>195.42</v>
      </c>
      <c r="G57" s="45">
        <f t="shared" si="2"/>
        <v>3322.09</v>
      </c>
    </row>
    <row r="58" spans="1:7" x14ac:dyDescent="0.15">
      <c r="A58" s="155" t="s">
        <v>49</v>
      </c>
      <c r="B58" s="155"/>
      <c r="C58" s="155"/>
      <c r="D58" s="31">
        <v>44410</v>
      </c>
      <c r="E58" s="54">
        <f t="shared" ref="E58:E82" si="3">IF($A$48&lt;VALUE(LEFT(A58,2))," ",IF($A$48=VALUE(LEFT(A58,2)),$G$44-($E$49*($A$48-1)),E57))</f>
        <v>3126.67</v>
      </c>
      <c r="F58" s="53">
        <f t="shared" ref="F58:F82" si="4">IF($A$48&lt;VALUE(LEFT(A58,2))," ",IF($A$48=VALUE(LEFT(A58,2)),$G$45-($F$49*($A$48-1)),F57))</f>
        <v>195.42</v>
      </c>
      <c r="G58" s="45">
        <f t="shared" ref="G58:G82" si="5">IF($A$48&lt;VALUE(LEFT(A58,2))," ",SUM(E58:F58))</f>
        <v>3322.09</v>
      </c>
    </row>
    <row r="59" spans="1:7" x14ac:dyDescent="0.15">
      <c r="A59" s="155" t="s">
        <v>50</v>
      </c>
      <c r="B59" s="155"/>
      <c r="C59" s="155"/>
      <c r="D59" s="31">
        <v>44441</v>
      </c>
      <c r="E59" s="54">
        <f t="shared" si="3"/>
        <v>3126.67</v>
      </c>
      <c r="F59" s="53">
        <f t="shared" si="4"/>
        <v>195.42</v>
      </c>
      <c r="G59" s="45">
        <f t="shared" si="5"/>
        <v>3322.09</v>
      </c>
    </row>
    <row r="60" spans="1:7" x14ac:dyDescent="0.15">
      <c r="A60" s="155" t="s">
        <v>51</v>
      </c>
      <c r="B60" s="155"/>
      <c r="C60" s="155"/>
      <c r="D60" s="31">
        <v>44471</v>
      </c>
      <c r="E60" s="54">
        <f t="shared" si="3"/>
        <v>3126.67</v>
      </c>
      <c r="F60" s="53">
        <f t="shared" si="4"/>
        <v>195.42</v>
      </c>
      <c r="G60" s="45">
        <f t="shared" si="5"/>
        <v>3322.09</v>
      </c>
    </row>
    <row r="61" spans="1:7" x14ac:dyDescent="0.15">
      <c r="A61" s="155" t="s">
        <v>52</v>
      </c>
      <c r="B61" s="155"/>
      <c r="C61" s="155"/>
      <c r="D61" s="31">
        <v>44502</v>
      </c>
      <c r="E61" s="54">
        <f t="shared" si="3"/>
        <v>3126.67</v>
      </c>
      <c r="F61" s="53">
        <f t="shared" si="4"/>
        <v>195.42</v>
      </c>
      <c r="G61" s="45">
        <f t="shared" si="5"/>
        <v>3322.09</v>
      </c>
    </row>
    <row r="62" spans="1:7" x14ac:dyDescent="0.15">
      <c r="A62" s="155" t="s">
        <v>53</v>
      </c>
      <c r="B62" s="155"/>
      <c r="C62" s="155"/>
      <c r="D62" s="31">
        <v>44532</v>
      </c>
      <c r="E62" s="54">
        <f t="shared" si="3"/>
        <v>3126.67</v>
      </c>
      <c r="F62" s="53">
        <f t="shared" si="4"/>
        <v>195.42</v>
      </c>
      <c r="G62" s="45">
        <f t="shared" si="5"/>
        <v>3322.09</v>
      </c>
    </row>
    <row r="63" spans="1:7" x14ac:dyDescent="0.15">
      <c r="A63" s="155" t="s">
        <v>54</v>
      </c>
      <c r="B63" s="155"/>
      <c r="C63" s="155"/>
      <c r="D63" s="31">
        <v>44563</v>
      </c>
      <c r="E63" s="54">
        <f t="shared" si="3"/>
        <v>3126.67</v>
      </c>
      <c r="F63" s="53">
        <f t="shared" si="4"/>
        <v>195.42</v>
      </c>
      <c r="G63" s="45">
        <f t="shared" si="5"/>
        <v>3322.09</v>
      </c>
    </row>
    <row r="64" spans="1:7" x14ac:dyDescent="0.15">
      <c r="A64" s="155" t="s">
        <v>55</v>
      </c>
      <c r="B64" s="155"/>
      <c r="C64" s="155"/>
      <c r="D64" s="31">
        <v>44594</v>
      </c>
      <c r="E64" s="54">
        <f t="shared" si="3"/>
        <v>3126.67</v>
      </c>
      <c r="F64" s="53">
        <f t="shared" si="4"/>
        <v>195.42</v>
      </c>
      <c r="G64" s="45">
        <f t="shared" si="5"/>
        <v>3322.09</v>
      </c>
    </row>
    <row r="65" spans="1:7" x14ac:dyDescent="0.15">
      <c r="A65" s="155" t="s">
        <v>56</v>
      </c>
      <c r="B65" s="155"/>
      <c r="C65" s="155"/>
      <c r="D65" s="31">
        <v>44622</v>
      </c>
      <c r="E65" s="54">
        <f t="shared" si="3"/>
        <v>3126.67</v>
      </c>
      <c r="F65" s="53">
        <f t="shared" si="4"/>
        <v>195.42</v>
      </c>
      <c r="G65" s="45">
        <f t="shared" si="5"/>
        <v>3322.09</v>
      </c>
    </row>
    <row r="66" spans="1:7" x14ac:dyDescent="0.15">
      <c r="A66" s="155" t="s">
        <v>57</v>
      </c>
      <c r="B66" s="155"/>
      <c r="C66" s="155"/>
      <c r="D66" s="31">
        <v>44653</v>
      </c>
      <c r="E66" s="54">
        <f t="shared" si="3"/>
        <v>3126.67</v>
      </c>
      <c r="F66" s="53">
        <f t="shared" si="4"/>
        <v>195.42</v>
      </c>
      <c r="G66" s="45">
        <f t="shared" si="5"/>
        <v>3322.09</v>
      </c>
    </row>
    <row r="67" spans="1:7" x14ac:dyDescent="0.15">
      <c r="A67" s="155" t="s">
        <v>58</v>
      </c>
      <c r="B67" s="155"/>
      <c r="C67" s="155"/>
      <c r="D67" s="31">
        <v>44683</v>
      </c>
      <c r="E67" s="54">
        <f t="shared" si="3"/>
        <v>3126.67</v>
      </c>
      <c r="F67" s="53">
        <f t="shared" si="4"/>
        <v>195.42</v>
      </c>
      <c r="G67" s="45">
        <f t="shared" si="5"/>
        <v>3322.09</v>
      </c>
    </row>
    <row r="68" spans="1:7" x14ac:dyDescent="0.15">
      <c r="A68" s="155" t="s">
        <v>59</v>
      </c>
      <c r="B68" s="155"/>
      <c r="C68" s="155"/>
      <c r="D68" s="31">
        <v>44714</v>
      </c>
      <c r="E68" s="54">
        <f t="shared" si="3"/>
        <v>3126.67</v>
      </c>
      <c r="F68" s="53">
        <f t="shared" si="4"/>
        <v>195.42</v>
      </c>
      <c r="G68" s="45">
        <f t="shared" si="5"/>
        <v>3322.09</v>
      </c>
    </row>
    <row r="69" spans="1:7" x14ac:dyDescent="0.15">
      <c r="A69" s="155" t="s">
        <v>60</v>
      </c>
      <c r="B69" s="155"/>
      <c r="C69" s="155"/>
      <c r="D69" s="31">
        <v>44744</v>
      </c>
      <c r="E69" s="54">
        <f t="shared" si="3"/>
        <v>3126.67</v>
      </c>
      <c r="F69" s="53">
        <f t="shared" si="4"/>
        <v>195.42</v>
      </c>
      <c r="G69" s="45">
        <f t="shared" si="5"/>
        <v>3322.09</v>
      </c>
    </row>
    <row r="70" spans="1:7" x14ac:dyDescent="0.15">
      <c r="A70" s="155" t="s">
        <v>61</v>
      </c>
      <c r="B70" s="155"/>
      <c r="C70" s="155"/>
      <c r="D70" s="31">
        <v>44775</v>
      </c>
      <c r="E70" s="54">
        <f t="shared" si="3"/>
        <v>3126.67</v>
      </c>
      <c r="F70" s="53">
        <f t="shared" si="4"/>
        <v>195.42</v>
      </c>
      <c r="G70" s="45">
        <f t="shared" si="5"/>
        <v>3322.09</v>
      </c>
    </row>
    <row r="71" spans="1:7" x14ac:dyDescent="0.15">
      <c r="A71" s="155" t="s">
        <v>62</v>
      </c>
      <c r="B71" s="155"/>
      <c r="C71" s="155"/>
      <c r="D71" s="31">
        <v>44806</v>
      </c>
      <c r="E71" s="54">
        <f t="shared" si="3"/>
        <v>3126.67</v>
      </c>
      <c r="F71" s="53">
        <f t="shared" si="4"/>
        <v>195.42</v>
      </c>
      <c r="G71" s="45">
        <f t="shared" si="5"/>
        <v>3322.09</v>
      </c>
    </row>
    <row r="72" spans="1:7" x14ac:dyDescent="0.15">
      <c r="A72" s="155" t="s">
        <v>63</v>
      </c>
      <c r="B72" s="155"/>
      <c r="C72" s="155"/>
      <c r="D72" s="31">
        <v>44836</v>
      </c>
      <c r="E72" s="54">
        <f t="shared" si="3"/>
        <v>3126.67</v>
      </c>
      <c r="F72" s="53">
        <f t="shared" si="4"/>
        <v>195.42</v>
      </c>
      <c r="G72" s="45">
        <f t="shared" si="5"/>
        <v>3322.09</v>
      </c>
    </row>
    <row r="73" spans="1:7" x14ac:dyDescent="0.15">
      <c r="A73" s="155" t="s">
        <v>64</v>
      </c>
      <c r="B73" s="155"/>
      <c r="C73" s="155"/>
      <c r="D73" s="31">
        <v>44867</v>
      </c>
      <c r="E73" s="54">
        <f t="shared" si="3"/>
        <v>3126.67</v>
      </c>
      <c r="F73" s="53">
        <f t="shared" si="4"/>
        <v>195.42</v>
      </c>
      <c r="G73" s="45">
        <f t="shared" si="5"/>
        <v>3322.09</v>
      </c>
    </row>
    <row r="74" spans="1:7" x14ac:dyDescent="0.15">
      <c r="A74" s="155" t="s">
        <v>65</v>
      </c>
      <c r="B74" s="155"/>
      <c r="C74" s="155"/>
      <c r="D74" s="31">
        <v>44897</v>
      </c>
      <c r="E74" s="54">
        <f t="shared" si="3"/>
        <v>3126.67</v>
      </c>
      <c r="F74" s="53">
        <f t="shared" si="4"/>
        <v>195.42</v>
      </c>
      <c r="G74" s="45">
        <f t="shared" si="5"/>
        <v>3322.09</v>
      </c>
    </row>
    <row r="75" spans="1:7" x14ac:dyDescent="0.15">
      <c r="A75" s="155" t="s">
        <v>66</v>
      </c>
      <c r="B75" s="155"/>
      <c r="C75" s="155"/>
      <c r="D75" s="31">
        <v>44928</v>
      </c>
      <c r="E75" s="54">
        <f t="shared" si="3"/>
        <v>3126.67</v>
      </c>
      <c r="F75" s="53">
        <f t="shared" si="4"/>
        <v>195.42</v>
      </c>
      <c r="G75" s="45">
        <f t="shared" si="5"/>
        <v>3322.09</v>
      </c>
    </row>
    <row r="76" spans="1:7" x14ac:dyDescent="0.15">
      <c r="A76" s="155" t="s">
        <v>67</v>
      </c>
      <c r="B76" s="155"/>
      <c r="C76" s="155"/>
      <c r="D76" s="31">
        <v>44959</v>
      </c>
      <c r="E76" s="54">
        <f t="shared" si="3"/>
        <v>3126.67</v>
      </c>
      <c r="F76" s="53">
        <f t="shared" si="4"/>
        <v>195.42</v>
      </c>
      <c r="G76" s="45">
        <f t="shared" si="5"/>
        <v>3322.09</v>
      </c>
    </row>
    <row r="77" spans="1:7" x14ac:dyDescent="0.15">
      <c r="A77" s="155" t="s">
        <v>68</v>
      </c>
      <c r="B77" s="155"/>
      <c r="C77" s="155"/>
      <c r="D77" s="31">
        <v>44987</v>
      </c>
      <c r="E77" s="54">
        <f t="shared" si="3"/>
        <v>3126.67</v>
      </c>
      <c r="F77" s="53">
        <f t="shared" si="4"/>
        <v>195.42</v>
      </c>
      <c r="G77" s="45">
        <f t="shared" si="5"/>
        <v>3322.09</v>
      </c>
    </row>
    <row r="78" spans="1:7" x14ac:dyDescent="0.15">
      <c r="A78" s="155" t="s">
        <v>69</v>
      </c>
      <c r="B78" s="155"/>
      <c r="C78" s="155"/>
      <c r="D78" s="31">
        <v>45018</v>
      </c>
      <c r="E78" s="54">
        <f t="shared" si="3"/>
        <v>3126.67</v>
      </c>
      <c r="F78" s="53">
        <f t="shared" si="4"/>
        <v>195.42</v>
      </c>
      <c r="G78" s="45">
        <f t="shared" si="5"/>
        <v>3322.09</v>
      </c>
    </row>
    <row r="79" spans="1:7" x14ac:dyDescent="0.15">
      <c r="A79" s="155" t="s">
        <v>70</v>
      </c>
      <c r="B79" s="155"/>
      <c r="C79" s="155"/>
      <c r="D79" s="31">
        <v>45048</v>
      </c>
      <c r="E79" s="54">
        <f t="shared" si="3"/>
        <v>3126.67</v>
      </c>
      <c r="F79" s="53">
        <f t="shared" si="4"/>
        <v>195.42</v>
      </c>
      <c r="G79" s="45">
        <f t="shared" si="5"/>
        <v>3322.09</v>
      </c>
    </row>
    <row r="80" spans="1:7" x14ac:dyDescent="0.15">
      <c r="A80" s="155" t="s">
        <v>71</v>
      </c>
      <c r="B80" s="155"/>
      <c r="C80" s="155"/>
      <c r="D80" s="31">
        <v>45079</v>
      </c>
      <c r="E80" s="54">
        <f t="shared" si="3"/>
        <v>3126.67</v>
      </c>
      <c r="F80" s="53">
        <f t="shared" si="4"/>
        <v>195.42</v>
      </c>
      <c r="G80" s="45">
        <f t="shared" si="5"/>
        <v>3322.09</v>
      </c>
    </row>
    <row r="81" spans="1:7" x14ac:dyDescent="0.15">
      <c r="A81" s="155" t="s">
        <v>72</v>
      </c>
      <c r="B81" s="155"/>
      <c r="C81" s="155"/>
      <c r="D81" s="31">
        <v>45109</v>
      </c>
      <c r="E81" s="54">
        <f t="shared" si="3"/>
        <v>3126.67</v>
      </c>
      <c r="F81" s="53">
        <f t="shared" si="4"/>
        <v>195.42</v>
      </c>
      <c r="G81" s="45">
        <f t="shared" si="5"/>
        <v>3322.09</v>
      </c>
    </row>
    <row r="82" spans="1:7" x14ac:dyDescent="0.15">
      <c r="A82" s="155" t="s">
        <v>73</v>
      </c>
      <c r="B82" s="155"/>
      <c r="C82" s="155"/>
      <c r="D82" s="31">
        <v>45140</v>
      </c>
      <c r="E82" s="54">
        <f t="shared" si="3"/>
        <v>3126.67</v>
      </c>
      <c r="F82" s="53">
        <f t="shared" si="4"/>
        <v>195.42</v>
      </c>
      <c r="G82" s="45">
        <f t="shared" si="5"/>
        <v>3322.09</v>
      </c>
    </row>
    <row r="83" spans="1:7" x14ac:dyDescent="0.15">
      <c r="A83" s="155" t="s">
        <v>74</v>
      </c>
      <c r="B83" s="155"/>
      <c r="C83" s="155"/>
      <c r="D83" s="31">
        <v>45171</v>
      </c>
      <c r="E83" s="54">
        <f>IF($A$48&lt;VALUE(LEFT(A83,2))," ",IF($A$48=VALUE(LEFT(A83,2)),$G$44-($E$49*($A$48-1)),E82))</f>
        <v>3126.67</v>
      </c>
      <c r="F83" s="53">
        <f>IF($A$48&lt;VALUE(LEFT(A83,2))," ",IF($A$48=VALUE(LEFT(A83,2)),$G$45-($F$49*($A$48-1)),F82))</f>
        <v>195.42</v>
      </c>
      <c r="G83" s="45">
        <f>IF($A$48&lt;VALUE(LEFT(A83,2))," ",SUM(E83:F83))</f>
        <v>3322.09</v>
      </c>
    </row>
    <row r="84" spans="1:7" x14ac:dyDescent="0.15">
      <c r="A84" s="155" t="s">
        <v>75</v>
      </c>
      <c r="B84" s="155"/>
      <c r="C84" s="155"/>
      <c r="D84" s="31">
        <v>45201</v>
      </c>
      <c r="E84" s="54">
        <f>IF($A$48&lt;VALUE(LEFT(A84,2))," ",IF($A$48=VALUE(LEFT(A84,2)),$G$44-($E$49*($A$48-1)),E83))</f>
        <v>3126.67</v>
      </c>
      <c r="F84" s="53">
        <f>IF($A$48&lt;VALUE(LEFT(A84,2))," ",IF($A$48=VALUE(LEFT(A84,2)),$G$45-($F$49*($A$48-1)),F83))</f>
        <v>195.42</v>
      </c>
      <c r="G84" s="45">
        <f>IF($A$48&lt;VALUE(LEFT(A84,2))," ",SUM(E84:F84))</f>
        <v>3322.09</v>
      </c>
    </row>
    <row r="85" spans="1:7" x14ac:dyDescent="0.15">
      <c r="A85" s="162" t="s">
        <v>164</v>
      </c>
      <c r="B85" s="134"/>
      <c r="C85" s="134"/>
      <c r="D85" s="31">
        <v>45232</v>
      </c>
      <c r="E85" s="54">
        <f t="shared" ref="E85:E96" si="6">IF($A$48&lt;VALUE(LEFT(A85,2))," ",IF($A$48=VALUE(LEFT(A85,2)),$G$44-($E$49*($A$48-1)),E84))</f>
        <v>3126.67</v>
      </c>
      <c r="F85" s="53">
        <f t="shared" ref="F85:F96" si="7">IF($A$48&lt;VALUE(LEFT(A85,2))," ",IF($A$48=VALUE(LEFT(A85,2)),$G$45-($F$49*($A$48-1)),F84))</f>
        <v>195.42</v>
      </c>
      <c r="G85" s="45">
        <f t="shared" ref="G85:G96" si="8">IF($A$48&lt;VALUE(LEFT(A85,2))," ",SUM(E85:F85))</f>
        <v>3322.09</v>
      </c>
    </row>
    <row r="86" spans="1:7" x14ac:dyDescent="0.15">
      <c r="A86" s="162" t="s">
        <v>165</v>
      </c>
      <c r="B86" s="134"/>
      <c r="C86" s="134"/>
      <c r="D86" s="31">
        <v>45262</v>
      </c>
      <c r="E86" s="54">
        <f t="shared" si="6"/>
        <v>3126.67</v>
      </c>
      <c r="F86" s="53">
        <f t="shared" si="7"/>
        <v>195.42</v>
      </c>
      <c r="G86" s="45">
        <f t="shared" si="8"/>
        <v>3322.09</v>
      </c>
    </row>
    <row r="87" spans="1:7" x14ac:dyDescent="0.15">
      <c r="A87" s="162" t="s">
        <v>166</v>
      </c>
      <c r="B87" s="134"/>
      <c r="C87" s="134"/>
      <c r="D87" s="31">
        <v>45293</v>
      </c>
      <c r="E87" s="54">
        <f t="shared" si="6"/>
        <v>3126.67</v>
      </c>
      <c r="F87" s="53">
        <f t="shared" si="7"/>
        <v>195.42</v>
      </c>
      <c r="G87" s="45">
        <f t="shared" si="8"/>
        <v>3322.09</v>
      </c>
    </row>
    <row r="88" spans="1:7" x14ac:dyDescent="0.15">
      <c r="A88" s="162" t="s">
        <v>167</v>
      </c>
      <c r="B88" s="134"/>
      <c r="C88" s="134"/>
      <c r="D88" s="31">
        <v>45324</v>
      </c>
      <c r="E88" s="54">
        <f t="shared" si="6"/>
        <v>3126.67</v>
      </c>
      <c r="F88" s="53">
        <f t="shared" si="7"/>
        <v>195.42</v>
      </c>
      <c r="G88" s="45">
        <f t="shared" si="8"/>
        <v>3322.09</v>
      </c>
    </row>
    <row r="89" spans="1:7" x14ac:dyDescent="0.15">
      <c r="A89" s="162" t="s">
        <v>168</v>
      </c>
      <c r="B89" s="134"/>
      <c r="C89" s="134"/>
      <c r="D89" s="31">
        <v>45353</v>
      </c>
      <c r="E89" s="54">
        <f t="shared" si="6"/>
        <v>3126.67</v>
      </c>
      <c r="F89" s="53">
        <f t="shared" si="7"/>
        <v>195.42</v>
      </c>
      <c r="G89" s="45">
        <f t="shared" si="8"/>
        <v>3322.09</v>
      </c>
    </row>
    <row r="90" spans="1:7" x14ac:dyDescent="0.15">
      <c r="A90" s="162" t="s">
        <v>169</v>
      </c>
      <c r="B90" s="134"/>
      <c r="C90" s="134"/>
      <c r="D90" s="31">
        <v>45384</v>
      </c>
      <c r="E90" s="54">
        <f t="shared" si="6"/>
        <v>3126.67</v>
      </c>
      <c r="F90" s="53">
        <f t="shared" si="7"/>
        <v>195.42</v>
      </c>
      <c r="G90" s="45">
        <f t="shared" si="8"/>
        <v>3322.09</v>
      </c>
    </row>
    <row r="91" spans="1:7" x14ac:dyDescent="0.15">
      <c r="A91" s="162" t="s">
        <v>170</v>
      </c>
      <c r="B91" s="134"/>
      <c r="C91" s="134"/>
      <c r="D91" s="31">
        <v>45414</v>
      </c>
      <c r="E91" s="54">
        <f t="shared" si="6"/>
        <v>3126.67</v>
      </c>
      <c r="F91" s="53">
        <f t="shared" si="7"/>
        <v>195.42</v>
      </c>
      <c r="G91" s="45">
        <f t="shared" si="8"/>
        <v>3322.09</v>
      </c>
    </row>
    <row r="92" spans="1:7" x14ac:dyDescent="0.15">
      <c r="A92" s="162" t="s">
        <v>171</v>
      </c>
      <c r="B92" s="134"/>
      <c r="C92" s="134"/>
      <c r="D92" s="31">
        <v>45445</v>
      </c>
      <c r="E92" s="54">
        <f t="shared" si="6"/>
        <v>3126.67</v>
      </c>
      <c r="F92" s="53">
        <f t="shared" si="7"/>
        <v>195.42</v>
      </c>
      <c r="G92" s="45">
        <f t="shared" si="8"/>
        <v>3322.09</v>
      </c>
    </row>
    <row r="93" spans="1:7" x14ac:dyDescent="0.15">
      <c r="A93" s="162" t="s">
        <v>172</v>
      </c>
      <c r="B93" s="134"/>
      <c r="C93" s="134"/>
      <c r="D93" s="31">
        <v>45475</v>
      </c>
      <c r="E93" s="54">
        <f t="shared" si="6"/>
        <v>3126.67</v>
      </c>
      <c r="F93" s="53">
        <f t="shared" si="7"/>
        <v>195.42</v>
      </c>
      <c r="G93" s="45">
        <f t="shared" si="8"/>
        <v>3322.09</v>
      </c>
    </row>
    <row r="94" spans="1:7" x14ac:dyDescent="0.15">
      <c r="A94" s="162" t="s">
        <v>173</v>
      </c>
      <c r="B94" s="134"/>
      <c r="C94" s="134"/>
      <c r="D94" s="31">
        <v>45506</v>
      </c>
      <c r="E94" s="54">
        <f t="shared" si="6"/>
        <v>3126.67</v>
      </c>
      <c r="F94" s="53">
        <f t="shared" si="7"/>
        <v>195.42</v>
      </c>
      <c r="G94" s="45">
        <f t="shared" si="8"/>
        <v>3322.09</v>
      </c>
    </row>
    <row r="95" spans="1:7" x14ac:dyDescent="0.15">
      <c r="A95" s="162" t="s">
        <v>174</v>
      </c>
      <c r="B95" s="134"/>
      <c r="C95" s="134"/>
      <c r="D95" s="31">
        <v>45537</v>
      </c>
      <c r="E95" s="54">
        <f t="shared" si="6"/>
        <v>3126.67</v>
      </c>
      <c r="F95" s="53">
        <f t="shared" si="7"/>
        <v>195.42</v>
      </c>
      <c r="G95" s="45">
        <f t="shared" si="8"/>
        <v>3322.09</v>
      </c>
    </row>
    <row r="96" spans="1:7" x14ac:dyDescent="0.15">
      <c r="A96" s="162" t="s">
        <v>175</v>
      </c>
      <c r="B96" s="134"/>
      <c r="C96" s="134"/>
      <c r="D96" s="31">
        <v>45567</v>
      </c>
      <c r="E96" s="54">
        <f t="shared" si="6"/>
        <v>3126.67</v>
      </c>
      <c r="F96" s="53">
        <f t="shared" si="7"/>
        <v>195.42</v>
      </c>
      <c r="G96" s="45">
        <f t="shared" si="8"/>
        <v>3322.09</v>
      </c>
    </row>
    <row r="97" spans="1:9" x14ac:dyDescent="0.15">
      <c r="B97" s="52"/>
      <c r="E97" s="51"/>
      <c r="F97" s="50"/>
      <c r="G97" s="49"/>
    </row>
    <row r="98" spans="1:9" x14ac:dyDescent="0.15">
      <c r="A98" s="48" t="s">
        <v>92</v>
      </c>
    </row>
    <row r="99" spans="1:9" x14ac:dyDescent="0.15">
      <c r="B99" s="41" t="s">
        <v>93</v>
      </c>
      <c r="F99" s="47">
        <f>D91</f>
        <v>45414</v>
      </c>
    </row>
    <row r="100" spans="1:9" x14ac:dyDescent="0.15">
      <c r="B100" s="41" t="s">
        <v>94</v>
      </c>
      <c r="F100" s="47">
        <f>D96+31</f>
        <v>45598</v>
      </c>
      <c r="G100" s="46">
        <f>ROUND(((G25+G26)*((100-A34)/100))+(G30*(100-A34)/100),2)</f>
        <v>1275680</v>
      </c>
      <c r="I100" s="45"/>
    </row>
    <row r="101" spans="1:9" x14ac:dyDescent="0.15">
      <c r="B101" s="41" t="s">
        <v>95</v>
      </c>
    </row>
    <row r="102" spans="1:9" ht="12.75" customHeight="1" x14ac:dyDescent="0.15"/>
    <row r="103" spans="1:9" x14ac:dyDescent="0.15">
      <c r="A103" s="44" t="s">
        <v>96</v>
      </c>
      <c r="B103" s="43"/>
      <c r="C103" s="43"/>
      <c r="D103" s="43"/>
    </row>
    <row r="104" spans="1:9" x14ac:dyDescent="0.15">
      <c r="A104" s="154" t="s">
        <v>97</v>
      </c>
      <c r="B104" s="154"/>
      <c r="C104" s="154"/>
      <c r="D104" s="154"/>
      <c r="E104" s="154"/>
      <c r="F104" s="154"/>
      <c r="G104" s="154"/>
    </row>
    <row r="105" spans="1:9" x14ac:dyDescent="0.15">
      <c r="A105" s="43" t="s">
        <v>98</v>
      </c>
      <c r="B105" s="43"/>
      <c r="C105" s="43"/>
      <c r="D105" s="43"/>
    </row>
    <row r="106" spans="1:9" x14ac:dyDescent="0.15">
      <c r="A106" s="43" t="s">
        <v>99</v>
      </c>
      <c r="B106" s="43"/>
      <c r="C106" s="43"/>
      <c r="D106" s="43"/>
    </row>
    <row r="107" spans="1:9" x14ac:dyDescent="0.15">
      <c r="A107" s="43" t="s">
        <v>100</v>
      </c>
      <c r="B107" s="43"/>
      <c r="C107" s="43"/>
      <c r="D107" s="43"/>
    </row>
    <row r="108" spans="1:9" x14ac:dyDescent="0.15">
      <c r="A108" s="127" t="s">
        <v>101</v>
      </c>
      <c r="B108" s="43"/>
      <c r="C108" s="43"/>
      <c r="D108" s="43"/>
    </row>
    <row r="109" spans="1:9" x14ac:dyDescent="0.15">
      <c r="A109" s="127" t="s">
        <v>102</v>
      </c>
      <c r="B109" s="43"/>
      <c r="C109" s="43"/>
      <c r="D109" s="43"/>
    </row>
    <row r="110" spans="1:9" x14ac:dyDescent="0.15">
      <c r="A110" s="127" t="s">
        <v>103</v>
      </c>
      <c r="B110" s="43"/>
      <c r="C110" s="43"/>
      <c r="D110" s="43"/>
    </row>
    <row r="111" spans="1:9" x14ac:dyDescent="0.15">
      <c r="A111" s="127" t="s">
        <v>104</v>
      </c>
      <c r="B111" s="43"/>
      <c r="C111" s="43"/>
      <c r="D111" s="43"/>
    </row>
    <row r="112" spans="1:9" x14ac:dyDescent="0.15">
      <c r="A112" s="127" t="s">
        <v>105</v>
      </c>
      <c r="B112" s="43"/>
      <c r="C112" s="43"/>
      <c r="D112" s="43"/>
    </row>
    <row r="113" spans="1:7" x14ac:dyDescent="0.15">
      <c r="A113" s="154" t="s">
        <v>106</v>
      </c>
      <c r="B113" s="154"/>
      <c r="C113" s="154"/>
      <c r="D113" s="154"/>
      <c r="E113" s="154"/>
      <c r="F113" s="154"/>
      <c r="G113" s="154"/>
    </row>
    <row r="114" spans="1:7" ht="12.75" customHeight="1" x14ac:dyDescent="0.15"/>
    <row r="115" spans="1:7" ht="12.75" customHeight="1" x14ac:dyDescent="0.15"/>
    <row r="116" spans="1:7" x14ac:dyDescent="0.15">
      <c r="A116" s="41" t="s">
        <v>107</v>
      </c>
      <c r="E116" s="41" t="s">
        <v>108</v>
      </c>
    </row>
    <row r="117" spans="1:7" ht="12.75" customHeight="1" x14ac:dyDescent="0.15"/>
    <row r="118" spans="1:7" ht="12.75" customHeight="1" x14ac:dyDescent="0.15"/>
    <row r="119" spans="1:7" x14ac:dyDescent="0.15">
      <c r="A119" s="42"/>
      <c r="B119" s="42"/>
      <c r="C119" s="42"/>
      <c r="E119" s="42"/>
      <c r="F119" s="42"/>
      <c r="G119" s="42"/>
    </row>
    <row r="120" spans="1:7" x14ac:dyDescent="0.15">
      <c r="A120" s="41" t="s">
        <v>109</v>
      </c>
      <c r="E120" s="41" t="s">
        <v>109</v>
      </c>
    </row>
    <row r="121" spans="1:7" x14ac:dyDescent="0.15">
      <c r="A121" s="41" t="s">
        <v>110</v>
      </c>
      <c r="E121" s="41" t="s">
        <v>111</v>
      </c>
    </row>
    <row r="122" spans="1:7" ht="12.75" customHeight="1" x14ac:dyDescent="0.15"/>
    <row r="123" spans="1:7" ht="12.75" customHeight="1" x14ac:dyDescent="0.15"/>
    <row r="124" spans="1:7" x14ac:dyDescent="0.15">
      <c r="A124" s="41" t="s">
        <v>112</v>
      </c>
    </row>
    <row r="125" spans="1:7" ht="12.75" customHeight="1" x14ac:dyDescent="0.15"/>
    <row r="126" spans="1:7" ht="12.75" customHeight="1" x14ac:dyDescent="0.15"/>
    <row r="127" spans="1:7" x14ac:dyDescent="0.15">
      <c r="A127" s="42"/>
      <c r="B127" s="42"/>
      <c r="C127" s="42"/>
    </row>
    <row r="128" spans="1:7" x14ac:dyDescent="0.15">
      <c r="A128" s="41" t="s">
        <v>109</v>
      </c>
    </row>
    <row r="129" spans="1:1" x14ac:dyDescent="0.15">
      <c r="A129" s="41" t="s">
        <v>113</v>
      </c>
    </row>
  </sheetData>
  <mergeCells count="56">
    <mergeCell ref="A104:G104"/>
    <mergeCell ref="A113:G113"/>
    <mergeCell ref="A96:C96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84:C84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72:C72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B48:C48"/>
    <mergeCell ref="B1:F1"/>
    <mergeCell ref="B2:F2"/>
    <mergeCell ref="A3:G3"/>
    <mergeCell ref="F6:G6"/>
    <mergeCell ref="F7:G7"/>
  </mergeCells>
  <conditionalFormatting sqref="B11 B26">
    <cfRule type="expression" dxfId="45" priority="2" stopIfTrue="1">
      <formula>G11=0</formula>
    </cfRule>
  </conditionalFormatting>
  <conditionalFormatting sqref="A50:C57">
    <cfRule type="expression" dxfId="44" priority="3" stopIfTrue="1">
      <formula>VALUE(NoDPSchedule)&lt;VALUE(LEFT(A50,1))</formula>
    </cfRule>
  </conditionalFormatting>
  <conditionalFormatting sqref="A58:C84">
    <cfRule type="expression" dxfId="43" priority="4" stopIfTrue="1">
      <formula>VALUE(NoDPSchedule)&lt;VALUE(LEFT(A58,2))</formula>
    </cfRule>
  </conditionalFormatting>
  <conditionalFormatting sqref="G11 G26">
    <cfRule type="expression" dxfId="42" priority="5" stopIfTrue="1">
      <formula>G11=0</formula>
    </cfRule>
  </conditionalFormatting>
  <conditionalFormatting sqref="D4">
    <cfRule type="expression" dxfId="41" priority="6" stopIfTrue="1">
      <formula>G5&lt;=TODAY()</formula>
    </cfRule>
  </conditionalFormatting>
  <conditionalFormatting sqref="A85:C96">
    <cfRule type="expression" dxfId="40" priority="1" stopIfTrue="1">
      <formula>VALUE(NoDPSchedule)&lt;VALUE(LEFT(A85,2))</formula>
    </cfRule>
  </conditionalFormatting>
  <pageMargins left="0.70866141732283472" right="0.70866141732283472" top="0.74803149606299213" bottom="0.74803149606299213" header="0.31496062992125984" footer="0.31496062992125984"/>
  <pageSetup paperSize="5" scale="69" orientation="portrait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PROMO- LOCAL</vt:lpstr>
      <vt:lpstr>FOREIGN STRETCH-60 DAYS</vt:lpstr>
      <vt:lpstr>FOREIGN SPOT-30 DAYS</vt:lpstr>
      <vt:lpstr>PROMO-FOREIGN excp chinese</vt:lpstr>
      <vt:lpstr>FOREIGN SPOT-60 DAYS </vt:lpstr>
      <vt:lpstr>TEMPLATE ONLY-ENCODE DETAILS</vt:lpstr>
      <vt:lpstr>LOCAL STRETCH-30 DAYS</vt:lpstr>
      <vt:lpstr>FOREIGN STRETCH-60 DAYS (1)</vt:lpstr>
      <vt:lpstr>LOCAL SPOT-30 DAYS </vt:lpstr>
      <vt:lpstr>20-36-BANK-LOCAL ONLY</vt:lpstr>
      <vt:lpstr>10-10-48-BANK-LOCAL ONLY</vt:lpstr>
      <vt:lpstr>FOREIGN SPOT-60 DAYS</vt:lpstr>
      <vt:lpstr>100% - 48MON</vt:lpstr>
      <vt:lpstr>20-80-60-DEFERRED</vt:lpstr>
      <vt:lpstr>20-80-60</vt:lpstr>
      <vt:lpstr>10-90-60-DEFERRED</vt:lpstr>
      <vt:lpstr>50-50-60-DEFERRED</vt:lpstr>
      <vt:lpstr>SPOT CASH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mac</cp:lastModifiedBy>
  <cp:revision/>
  <dcterms:created xsi:type="dcterms:W3CDTF">2020-05-14T05:07:19Z</dcterms:created>
  <dcterms:modified xsi:type="dcterms:W3CDTF">2020-09-01T02:50:14Z</dcterms:modified>
  <cp:category/>
  <cp:contentStatus/>
</cp:coreProperties>
</file>