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20%DP - 24MONS" sheetId="1" r:id="rId1"/>
    <sheet name="NDI_Reference" sheetId="2" r:id="rId2"/>
    <sheet name="AnnexC1" sheetId="3" state="hidden" r:id="rId3"/>
  </sheets>
  <definedNames>
    <definedName name="ACServiceFee" localSheetId="2">'AnnexC1'!$G$28</definedName>
    <definedName name="ACServiceFee">'20%DP - 24MONS'!$G$28</definedName>
    <definedName name="AllowedDefMonths" localSheetId="2">'AnnexC1'!$G$5</definedName>
    <definedName name="AllowedDefMonths">'20%DP - 24MONS'!$G$5</definedName>
    <definedName name="BookingDiscount" localSheetId="2">'AnnexC1'!$G$16</definedName>
    <definedName name="BookingDiscount">'20%DP - 24MONS'!$G$16</definedName>
    <definedName name="BulkDiscount" localSheetId="2">'AnnexC1'!$G$19</definedName>
    <definedName name="BulkDiscount">'20%DP - 24MONS'!$G$19</definedName>
    <definedName name="CommittedSalesDiscount" localSheetId="2">'AnnexC1'!$G$15</definedName>
    <definedName name="CommittedSalesDiscount">'20%DP - 24MONS'!$G$15</definedName>
    <definedName name="Discount1Desc" localSheetId="2">'AnnexC1'!$B$21</definedName>
    <definedName name="Discount1Desc">'20%DP - 24MONS'!$B$21</definedName>
    <definedName name="Discount1Value" localSheetId="2">'AnnexC1'!$G$21</definedName>
    <definedName name="Discount1Value">'20%DP - 24MONS'!$G$21</definedName>
    <definedName name="Discount2Desc" localSheetId="2">'AnnexC1'!$B$22</definedName>
    <definedName name="Discount2Desc">'20%DP - 24MONS'!$B$22</definedName>
    <definedName name="Discount2Value" localSheetId="2">'AnnexC1'!$G$22</definedName>
    <definedName name="Discount2Value">'20%DP - 24MONS'!$G$22</definedName>
    <definedName name="Downpayment" localSheetId="2">'AnnexC1'!$A$33</definedName>
    <definedName name="Downpayment">'20%DP - 24MONS'!$A$33</definedName>
    <definedName name="DPDate" localSheetId="2">'AnnexC1'!$D$40</definedName>
    <definedName name="DPDate">'20%DP - 24MONS'!$D$40</definedName>
    <definedName name="EmployeeDiscount" localSheetId="2">'AnnexC1'!$G$18</definedName>
    <definedName name="EmployeeDiscount">'20%DP - 24MONS'!$G$18</definedName>
    <definedName name="Floor" localSheetId="2">'AnnexC1'!$C$7</definedName>
    <definedName name="Floor">'20%DP - 24MONS'!$C$7</definedName>
    <definedName name="FloorArea" localSheetId="2">'AnnexC1'!$D$7</definedName>
    <definedName name="FloorArea">'20%DP - 24MONS'!$D$7</definedName>
    <definedName name="LumpOCDate" localSheetId="2">'AnnexC1'!$B$24</definedName>
    <definedName name="LumpOCDate">'20%DP - 24MONS'!$B$24</definedName>
    <definedName name="Mode" localSheetId="2">'AnnexC1'!$D$4</definedName>
    <definedName name="Mode">'20%DP - 24MONS'!$D$4</definedName>
    <definedName name="Model" localSheetId="2">'AnnexC1'!$F$7</definedName>
    <definedName name="Model">'20%DP - 24MONS'!$F$7</definedName>
    <definedName name="NoDPSchedule" localSheetId="2">'AnnexC1'!$A$39</definedName>
    <definedName name="NoDPSchedule">'20%DP - 24MONS'!$A$39</definedName>
    <definedName name="Note1" localSheetId="2">'AnnexC1'!$A$83</definedName>
    <definedName name="Note1">'20%DP - 24MONS'!$A$107</definedName>
    <definedName name="OtherBSDiscount" localSheetId="2">'AnnexC1'!$G$17</definedName>
    <definedName name="OtherBSDiscount">'20%DP - 24MONS'!$G$17</definedName>
    <definedName name="OtherChargesPercentage" localSheetId="2">'AnnexC1'!$A$26</definedName>
    <definedName name="OtherChargesPercentage">'20%DP - 24MONS'!$A$26</definedName>
    <definedName name="OtherDiscount" localSheetId="2">'AnnexC1'!$G$20</definedName>
    <definedName name="OtherDiscount">'20%DP - 24MONS'!$G$20</definedName>
    <definedName name="OtherRSDiscount" localSheetId="2">'AnnexC1'!$G$14</definedName>
    <definedName name="OtherRSDiscount">'20%DP - 24MONS'!$G$14</definedName>
    <definedName name="Payee" localSheetId="2">'AnnexC1'!$A$92</definedName>
    <definedName name="Payee">'20%DP - 24MONS'!$A$116</definedName>
    <definedName name="PercentageDiscount" localSheetId="2">'AnnexC1'!$A$12</definedName>
    <definedName name="PercentageDiscount">'20%DP - 24MONS'!$A$12</definedName>
    <definedName name="ProjectName" localSheetId="2">'AnnexC1'!$A$3</definedName>
    <definedName name="ProjectName">'20%DP - 24MONS'!$A$3</definedName>
    <definedName name="ReservationDate" localSheetId="2">'AnnexC1'!$F$36</definedName>
    <definedName name="ReservationDate">'20%DP - 24MONS'!$F$36</definedName>
    <definedName name="ReservationDiscount" localSheetId="2">'AnnexC1'!$G$13</definedName>
    <definedName name="ReservationDiscount">'20%DP - 24MONS'!$G$13</definedName>
    <definedName name="ReservationFee" localSheetId="2">'AnnexC1'!$G$36</definedName>
    <definedName name="ReservationFee">'20%DP - 24MONS'!$G$36</definedName>
    <definedName name="SellingPrice" localSheetId="2">'AnnexC1'!$G$10</definedName>
    <definedName name="SellingPrice">'20%DP - 24MONS'!$G$10</definedName>
    <definedName name="ServiceFee" localSheetId="2">'AnnexC1'!$G$27</definedName>
    <definedName name="ServiceFee">'20%DP - 24MONS'!$G$27</definedName>
    <definedName name="SpotDownpayment" localSheetId="2">'AnnexC1'!$A$38</definedName>
    <definedName name="SpotDownpayment">'20%DP - 24MONS'!$A$38</definedName>
    <definedName name="StandardDiscount" localSheetId="2">'AnnexC1'!$G$12</definedName>
    <definedName name="StandardDiscount">'20%DP - 24MONS'!$G$12</definedName>
    <definedName name="TotalOtherCharges" localSheetId="2">'AnnexC1'!$G$26</definedName>
    <definedName name="TotalOtherCharges">'20%DP - 24MONS'!$G$26</definedName>
    <definedName name="Tower" localSheetId="2">'AnnexC1'!$A$7</definedName>
    <definedName name="Tower">'20%DP - 24MONS'!$A$7</definedName>
    <definedName name="Unit" localSheetId="2">'AnnexC1'!$B$7</definedName>
    <definedName name="Unit">'20%DP - 24MONS'!$B$7</definedName>
  </definedNames>
  <calcPr fullCalcOnLoad="1"/>
</workbook>
</file>

<file path=xl/sharedStrings.xml><?xml version="1.0" encoding="utf-8"?>
<sst xmlns="http://schemas.openxmlformats.org/spreadsheetml/2006/main" count="276" uniqueCount="139">
  <si>
    <t>AVIDA LAND CORP.</t>
  </si>
  <si>
    <t>CUSTOMER SERVICE UNIT</t>
  </si>
  <si>
    <t>AVIDA TOWERS ONE UNION PLACE</t>
  </si>
  <si>
    <t>Tower</t>
  </si>
  <si>
    <t>Unit</t>
  </si>
  <si>
    <t>Floor</t>
  </si>
  <si>
    <t>Floor Area</t>
  </si>
  <si>
    <t>Model</t>
  </si>
  <si>
    <t>3</t>
  </si>
  <si>
    <t>LB60</t>
  </si>
  <si>
    <t>LOWER BASEMENT</t>
  </si>
  <si>
    <t>12.50</t>
  </si>
  <si>
    <t>SINGLE PARKING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</si>
  <si>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</si>
  <si>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</si>
  <si>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</si>
  <si>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</si>
  <si>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</si>
  <si>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</si>
  <si>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</si>
  <si>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</si>
  <si>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</si>
  <si>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</si>
  <si>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</si>
  <si>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</si>
  <si>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</si>
  <si>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</si>
  <si>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</si>
  <si>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</si>
  <si>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</si>
  <si>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</si>
  <si>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</si>
  <si>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</si>
  <si>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</si>
  <si>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</si>
  <si>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</si>
  <si>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</si>
  <si>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</si>
  <si>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</si>
  <si>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</si>
  <si>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</si>
  <si>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</si>
  <si>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</si>
  <si>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</si>
  <si>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</si>
  <si>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</si>
  <si>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</si>
  <si>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</si>
  <si>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</si>
  <si>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</si>
  <si>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</si>
  <si>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</si>
  <si>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</si>
  <si>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</si>
  <si>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</si>
  <si>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</si>
  <si>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</si>
  <si>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</si>
  <si>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</si>
  <si>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</si>
  <si>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</si>
  <si>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</si>
  <si>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</si>
  <si>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</si>
  <si>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</si>
  <si>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</si>
  <si>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</si>
  <si>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</si>
  <si>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</si>
  <si>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</si>
  <si>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</si>
  <si>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</si>
  <si>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</si>
  <si>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</si>
  <si>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</si>
  <si>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</si>
  <si>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</si>
  <si>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</si>
  <si>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</si>
  <si>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</si>
  <si>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</si>
  <si>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</si>
  <si>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</si>
  <si>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ALI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</si>
  <si>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</si>
  <si>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</si>
  <si>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</si>
  <si>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</si>
  <si>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</si>
  <si>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</si>
  <si>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</si>
  <si>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</si>
  <si>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ALI.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</si>
  <si>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</si>
  <si>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</si>
  <si>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</si>
  <si>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</si>
  <si>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</si>
  <si>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</si>
  <si>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</si>
  <si>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Bank Financing: Estimated Monthly Amortization (Mortgage Registration Charges not included)</t>
  </si>
  <si>
    <t>Principal</t>
  </si>
  <si>
    <t>Total Bank Loanable Amount</t>
  </si>
  <si>
    <t>Term (Years)</t>
  </si>
  <si>
    <t>Interest Rate</t>
  </si>
  <si>
    <t>Factor Rate</t>
  </si>
  <si>
    <t>From</t>
  </si>
  <si>
    <t>To</t>
  </si>
  <si>
    <t>NDI</t>
  </si>
  <si>
    <t>5 Years</t>
  </si>
  <si>
    <t>10 Years</t>
  </si>
  <si>
    <t>15 Years</t>
  </si>
  <si>
    <t>20 Years</t>
  </si>
  <si>
    <t>25 Years</t>
  </si>
  <si>
    <t>Annex C-1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</si>
  <si>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</si>
  <si>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</si>
  <si>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</si>
  <si>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</si>
  <si>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</si>
  <si>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</si>
  <si>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</si>
  <si>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</si>
  <si>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</si>
  <si>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</si>
  <si>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</si>
  <si>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</si>
  <si>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</si>
  <si>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</si>
  <si>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</si>
  <si>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</si>
  <si>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53rd Downpayment due on</t>
  </si>
  <si>
    <t>54th Downpayment due on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</si>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</sst>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_(* #,##0.0000_);_(* \(#,##0.0000\);_(* &quot;-&quot;??_);_(@_)"/>
    <numFmt numFmtId="174" formatCode="[$-3409]dd\-mmm\-yy;@"/>
    <numFmt numFmtId="175" formatCode="_(\P* #,##0_);_(\P* \(#,##0\);_(\P* &quot;-&quot;_);_(@_)"/>
    <numFmt numFmtId="176" formatCode="[$-409]dd\-mmm\-yy;@"/>
    <numFmt numFmtId="177" formatCode="_(\P\ * #,##0.00_);_(\P\ * \(#,##0.00\);_(\P\ * &quot;-&quot;??_);_(@_)"/>
    <numFmt numFmtId="178" formatCode="_(* #,##0.0000000_);_(* \(#,##0.0000000\);_(* &quot;-&quot;??_);_(@_)"/>
  </numFmts>
  <fonts count="47">
    <font>
      <sz val="10"/>
      <color indexed="8"/>
      <name val="Courier New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20"/>
      <color indexed="8"/>
      <name val="Verdana"/>
      <family val="0"/>
    </font>
    <font>
      <b/>
      <sz val="10"/>
      <color indexed="8"/>
      <name val="Verdana"/>
      <family val="0"/>
    </font>
    <font>
      <sz val="10"/>
      <color indexed="9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i/>
      <sz val="10"/>
      <color indexed="8"/>
      <name val="Verdana"/>
      <family val="0"/>
    </font>
    <font>
      <sz val="19.2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172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171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1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71" fontId="5" fillId="33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/>
      <protection/>
    </xf>
    <xf numFmtId="173" fontId="1" fillId="0" borderId="0" xfId="0" applyNumberFormat="1" applyFont="1" applyFill="1" applyBorder="1" applyAlignment="1" applyProtection="1">
      <alignment/>
      <protection/>
    </xf>
    <xf numFmtId="174" fontId="1" fillId="0" borderId="0" xfId="0" applyNumberFormat="1" applyFont="1" applyFill="1" applyBorder="1" applyAlignment="1" applyProtection="1">
      <alignment horizontal="center"/>
      <protection/>
    </xf>
    <xf numFmtId="174" fontId="1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center" wrapText="1"/>
      <protection/>
    </xf>
    <xf numFmtId="175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1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 applyProtection="1">
      <alignment horizontal="center"/>
      <protection/>
    </xf>
    <xf numFmtId="177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0" fontId="1" fillId="0" borderId="19" xfId="0" applyNumberFormat="1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10" fontId="1" fillId="0" borderId="20" xfId="0" applyNumberFormat="1" applyFont="1" applyFill="1" applyBorder="1" applyAlignment="1" applyProtection="1">
      <alignment/>
      <protection/>
    </xf>
    <xf numFmtId="178" fontId="1" fillId="0" borderId="20" xfId="0" applyNumberFormat="1" applyFont="1" applyFill="1" applyBorder="1" applyAlignment="1" applyProtection="1">
      <alignment/>
      <protection/>
    </xf>
    <xf numFmtId="176" fontId="1" fillId="0" borderId="20" xfId="0" applyNumberFormat="1" applyFont="1" applyFill="1" applyBorder="1" applyAlignment="1" applyProtection="1">
      <alignment horizontal="center"/>
      <protection/>
    </xf>
    <xf numFmtId="171" fontId="5" fillId="0" borderId="20" xfId="0" applyNumberFormat="1" applyFont="1" applyFill="1" applyBorder="1" applyAlignment="1" applyProtection="1">
      <alignment/>
      <protection/>
    </xf>
    <xf numFmtId="171" fontId="10" fillId="0" borderId="2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 indent="2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33" borderId="22" xfId="0" applyNumberFormat="1" applyFont="1" applyFill="1" applyBorder="1" applyAlignment="1" applyProtection="1">
      <alignment horizontal="left"/>
      <protection/>
    </xf>
    <xf numFmtId="0" fontId="5" fillId="33" borderId="23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">
      <selection activeCell="F31" sqref="F31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16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>
      <c r="A1" s="2"/>
      <c r="B1" s="65" t="s">
        <v>0</v>
      </c>
      <c r="C1" s="65"/>
      <c r="D1" s="65"/>
      <c r="E1" s="65"/>
      <c r="F1" s="65"/>
      <c r="G1" s="3"/>
    </row>
    <row r="2" spans="1:7" ht="14.25" customHeight="1">
      <c r="A2" s="4"/>
      <c r="B2" s="66" t="s">
        <v>1</v>
      </c>
      <c r="C2" s="66"/>
      <c r="D2" s="66"/>
      <c r="E2" s="66"/>
      <c r="F2" s="66"/>
      <c r="G2" s="5"/>
    </row>
    <row r="3" spans="1:7" ht="30" customHeight="1">
      <c r="A3" s="67" t="s">
        <v>2</v>
      </c>
      <c r="B3" s="68"/>
      <c r="C3" s="68"/>
      <c r="D3" s="68"/>
      <c r="E3" s="68"/>
      <c r="F3" s="68"/>
      <c r="G3" s="69"/>
    </row>
    <row r="4" spans="1:7" ht="13.5" customHeight="1">
      <c r="A4" s="6">
        <f>IF(A39&lt;=12,12,A39)</f>
        <v>60</v>
      </c>
      <c r="B4" s="7"/>
      <c r="C4" s="7"/>
      <c r="D4" s="8" t="str">
        <f>IF(A39&gt;G5,"TERM IS SUBJECT FOR APPROVAL","SAMPLE COMPUTATION ONLY")</f>
        <v>TERM IS SUBJECT FOR APPROVAL</v>
      </c>
      <c r="E4" s="7"/>
      <c r="F4" s="7"/>
      <c r="G4" s="9"/>
    </row>
    <row r="5" s="1" customFormat="1" ht="13.5" customHeight="1">
      <c r="G5" s="10">
        <v>24</v>
      </c>
    </row>
    <row r="6" spans="1:7" ht="13.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70" t="s">
        <v>7</v>
      </c>
      <c r="G6" s="70"/>
    </row>
    <row r="7" spans="1:7" ht="13.5">
      <c r="A7" s="12" t="s">
        <v>8</v>
      </c>
      <c r="B7" s="12" t="s">
        <v>9</v>
      </c>
      <c r="C7" s="12" t="s">
        <v>10</v>
      </c>
      <c r="D7" s="12" t="s">
        <v>11</v>
      </c>
      <c r="E7" s="12"/>
      <c r="F7" s="71" t="s">
        <v>12</v>
      </c>
      <c r="G7" s="71"/>
    </row>
    <row r="10" spans="1:7" ht="13.5">
      <c r="A10" s="13" t="s">
        <v>13</v>
      </c>
      <c r="B10" s="13"/>
      <c r="C10" s="14"/>
      <c r="D10" s="15"/>
      <c r="E10" s="15"/>
      <c r="F10" s="16" t="s">
        <v>14</v>
      </c>
      <c r="G10" s="17">
        <v>1764000</v>
      </c>
    </row>
    <row r="11" spans="1:7" ht="13.5">
      <c r="A11" s="1" t="s">
        <v>15</v>
      </c>
      <c r="B11" s="1" t="s">
        <v>16</v>
      </c>
      <c r="C11" s="18"/>
      <c r="F11" s="19"/>
      <c r="G11" s="20">
        <f>ROUND(IF(ISERROR(FIND("PARKING",Model,1)),IF(SellingPrice&gt;2000000,(G10-(G10/1.12)),0),(G10-(G10/1.12))),2)</f>
        <v>189000</v>
      </c>
    </row>
    <row r="12" spans="1:10" ht="13.5" hidden="1">
      <c r="A12" s="21">
        <v>0</v>
      </c>
      <c r="B12" s="1" t="str">
        <f>CONCATENATE(A12,"% Discount on ",A33,"% SFDP")</f>
        <v>0% Discount on 20% SFDP</v>
      </c>
      <c r="F12" s="19"/>
      <c r="G12" s="22">
        <v>0</v>
      </c>
      <c r="I12" s="22"/>
      <c r="J12" s="22"/>
    </row>
    <row r="13" spans="2:10" ht="13.5" hidden="1">
      <c r="B13" s="1" t="s">
        <v>17</v>
      </c>
      <c r="G13" s="22">
        <v>0</v>
      </c>
      <c r="I13" s="22"/>
      <c r="J13" s="22"/>
    </row>
    <row r="14" spans="2:10" ht="13.5" hidden="1">
      <c r="B14" s="1" t="s">
        <v>18</v>
      </c>
      <c r="G14" s="22">
        <v>0</v>
      </c>
      <c r="I14" s="22"/>
      <c r="J14" s="22"/>
    </row>
    <row r="15" spans="2:9" ht="13.5" hidden="1">
      <c r="B15" s="1" t="s">
        <v>19</v>
      </c>
      <c r="G15" s="22">
        <v>0</v>
      </c>
      <c r="I15" s="22"/>
    </row>
    <row r="16" spans="2:9" ht="13.5" hidden="1">
      <c r="B16" s="1" t="s">
        <v>20</v>
      </c>
      <c r="G16" s="22">
        <v>0</v>
      </c>
      <c r="I16" s="22"/>
    </row>
    <row r="17" spans="2:9" ht="13.5" hidden="1">
      <c r="B17" s="1" t="s">
        <v>21</v>
      </c>
      <c r="G17" s="22">
        <v>0</v>
      </c>
      <c r="I17" s="22"/>
    </row>
    <row r="18" spans="2:10" ht="13.5" hidden="1">
      <c r="B18" s="1" t="s">
        <v>22</v>
      </c>
      <c r="G18" s="22">
        <v>0</v>
      </c>
      <c r="H18" s="22"/>
      <c r="I18" s="22"/>
      <c r="J18" s="22"/>
    </row>
    <row r="19" spans="2:10" ht="13.5" hidden="1">
      <c r="B19" s="1" t="s">
        <v>23</v>
      </c>
      <c r="G19" s="22">
        <v>0</v>
      </c>
      <c r="J19" s="22"/>
    </row>
    <row r="20" spans="2:10" ht="13.5" hidden="1">
      <c r="B20" s="1" t="s">
        <v>24</v>
      </c>
      <c r="G20" s="22">
        <v>0</v>
      </c>
      <c r="J20" s="22"/>
    </row>
    <row r="21" spans="2:10" ht="13.5" hidden="1">
      <c r="B21" s="1" t="s">
        <v>25</v>
      </c>
      <c r="G21" s="22">
        <v>0</v>
      </c>
      <c r="J21" s="22"/>
    </row>
    <row r="22" spans="2:10" ht="13.5" hidden="1">
      <c r="B22" s="1" t="s">
        <v>26</v>
      </c>
      <c r="G22" s="22">
        <v>0</v>
      </c>
      <c r="J22" s="22"/>
    </row>
    <row r="23" spans="6:10" ht="13.5" customHeight="1">
      <c r="F23" s="19"/>
      <c r="G23" s="23"/>
      <c r="J23" s="22"/>
    </row>
    <row r="24" spans="1:7" ht="13.5" customHeight="1">
      <c r="A24" s="13" t="s">
        <v>27</v>
      </c>
      <c r="B24" s="24"/>
      <c r="C24" s="15"/>
      <c r="D24" s="15"/>
      <c r="E24" s="15"/>
      <c r="F24" s="16" t="s">
        <v>14</v>
      </c>
      <c r="G24" s="25">
        <f>(SellingPrice-G11)-SUM(G12:G22)</f>
        <v>1575000</v>
      </c>
    </row>
    <row r="25" spans="1:9" ht="13.5">
      <c r="A25" s="1" t="s">
        <v>28</v>
      </c>
      <c r="B25" s="1" t="s">
        <v>16</v>
      </c>
      <c r="G25" s="22">
        <f>ROUND(IF(ISERROR(FIND("PARKING",Model,1)),IF(G24&gt;2000000,G24*12%,0),G24*12%),2)</f>
        <v>189000</v>
      </c>
      <c r="I25" s="22"/>
    </row>
    <row r="26" spans="1:7" ht="13.5" hidden="1">
      <c r="A26" s="21">
        <v>7</v>
      </c>
      <c r="B26" s="1" t="s">
        <v>29</v>
      </c>
      <c r="G26" s="22">
        <f>ROUND(G24*(A26/100),2)</f>
        <v>110250</v>
      </c>
    </row>
    <row r="27" spans="1:7" ht="13.5" hidden="1">
      <c r="A27" s="21"/>
      <c r="B27" s="1" t="s">
        <v>30</v>
      </c>
      <c r="F27" s="21">
        <f>IF(G27&gt;50000,50000,G27)</f>
        <v>0</v>
      </c>
      <c r="G27" s="22">
        <v>0</v>
      </c>
    </row>
    <row r="28" spans="1:7" ht="13.5" hidden="1">
      <c r="A28" s="21"/>
      <c r="B28" s="1" t="s">
        <v>31</v>
      </c>
      <c r="G28" s="22">
        <v>0</v>
      </c>
    </row>
    <row r="29" spans="1:7" ht="13.5" customHeight="1">
      <c r="A29" s="21"/>
      <c r="B29" s="1" t="s">
        <v>29</v>
      </c>
      <c r="G29" s="22">
        <f>111000+36000</f>
        <v>147000</v>
      </c>
    </row>
    <row r="30" spans="1:7" ht="13.5" customHeight="1">
      <c r="A30" s="13" t="s">
        <v>32</v>
      </c>
      <c r="B30" s="15"/>
      <c r="C30" s="15"/>
      <c r="D30" s="15"/>
      <c r="E30" s="15"/>
      <c r="F30" s="16" t="s">
        <v>14</v>
      </c>
      <c r="G30" s="25">
        <f>G24+SUM(G25,G29)</f>
        <v>1911000</v>
      </c>
    </row>
    <row r="31" ht="13.5"/>
    <row r="32" ht="13.5">
      <c r="A32" s="26" t="s">
        <v>33</v>
      </c>
    </row>
    <row r="33" spans="1:10" ht="13.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352800</v>
      </c>
      <c r="J33" s="22"/>
    </row>
    <row r="34" spans="1:10" ht="13.5" customHeight="1">
      <c r="A34" s="26"/>
      <c r="B34" s="1" t="s">
        <v>34</v>
      </c>
      <c r="G34" s="22">
        <f>ROUND(G29*(A33/100),2)</f>
        <v>29400</v>
      </c>
      <c r="J34" s="28"/>
    </row>
    <row r="35" spans="1:7" ht="13.5" customHeight="1">
      <c r="A35" s="13" t="s">
        <v>35</v>
      </c>
      <c r="B35" s="15"/>
      <c r="C35" s="15"/>
      <c r="D35" s="15"/>
      <c r="E35" s="15"/>
      <c r="F35" s="16" t="s">
        <v>14</v>
      </c>
      <c r="G35" s="25">
        <f>SUM(G33:G34)</f>
        <v>382200</v>
      </c>
    </row>
    <row r="36" spans="1:7" ht="13.5" customHeight="1">
      <c r="A36" s="1" t="s">
        <v>15</v>
      </c>
      <c r="B36" s="1" t="s">
        <v>36</v>
      </c>
      <c r="F36" s="29">
        <f>DATE(2021,1,15)</f>
        <v>44211</v>
      </c>
      <c r="G36" s="22">
        <v>20000</v>
      </c>
    </row>
    <row r="37" spans="1:7" ht="13.5" customHeight="1">
      <c r="A37" s="13" t="s">
        <v>37</v>
      </c>
      <c r="B37" s="15"/>
      <c r="C37" s="15"/>
      <c r="D37" s="15"/>
      <c r="E37" s="30"/>
      <c r="F37" s="16" t="s">
        <v>14</v>
      </c>
      <c r="G37" s="25">
        <f>G35-G36</f>
        <v>362200</v>
      </c>
    </row>
    <row r="38" ht="13.5">
      <c r="A38" s="21">
        <v>0</v>
      </c>
    </row>
    <row r="39" spans="1:7" ht="25.5" customHeight="1">
      <c r="A39" s="31">
        <v>60</v>
      </c>
      <c r="B39" s="72" t="s">
        <v>38</v>
      </c>
      <c r="C39" s="72"/>
      <c r="D39" s="32" t="s">
        <v>39</v>
      </c>
      <c r="E39" s="33" t="s">
        <v>40</v>
      </c>
      <c r="F39" s="34" t="s">
        <v>29</v>
      </c>
      <c r="G39" s="35" t="s">
        <v>41</v>
      </c>
    </row>
    <row r="40" spans="1:7" ht="13.5">
      <c r="A40" s="64" t="s">
        <v>42</v>
      </c>
      <c r="B40" s="64"/>
      <c r="C40" s="64"/>
      <c r="D40" s="36">
        <f>ReservationDate+29</f>
        <v>44240</v>
      </c>
      <c r="E40" s="20">
        <f>ROUND((G35-G36-G34)/A39,2)</f>
        <v>5546.67</v>
      </c>
      <c r="F40" s="37">
        <f>ROUND(SUM(G34:G34)/A39,2)</f>
        <v>490</v>
      </c>
      <c r="G40" s="22">
        <f>SUM(E40:F40)</f>
        <v>6036.67</v>
      </c>
    </row>
    <row r="41" spans="1:7" ht="13.5">
      <c r="A41" s="64" t="s">
        <v>43</v>
      </c>
      <c r="B41" s="64"/>
      <c r="C41" s="64"/>
      <c r="D41" s="36">
        <v>44272</v>
      </c>
      <c r="E41" s="20">
        <f>IF($A$39&lt;VALUE(LEFT(A41,1))," ",IF($A$39=VALUE(LEFT(A41,1)),($G$35-$G$36-$G$34)-($E$40*($A$39-1)),E40))</f>
        <v>5546.67</v>
      </c>
      <c r="F41" s="37">
        <f>IF($A$39&lt;VALUE(LEFT(A41,1))," ",IF($A$39=VALUE(LEFT(A41,1)),$G$34-($F$40*($A$39-1)),F40))</f>
        <v>490</v>
      </c>
      <c r="G41" s="22">
        <f>IF($A$39&lt;VALUE(LEFT(A41,1))," ",SUM(E41:F41))</f>
        <v>6036.67</v>
      </c>
    </row>
    <row r="42" spans="1:7" ht="13.5">
      <c r="A42" s="64" t="s">
        <v>44</v>
      </c>
      <c r="B42" s="64"/>
      <c r="C42" s="64"/>
      <c r="D42" s="36">
        <f>IF($A$39&lt;VALUE(LEFT(A42,1))," ",DATE(YEAR(D41+30),MONTH(D41+30),DAY(D41)))</f>
        <v>44303</v>
      </c>
      <c r="E42" s="20">
        <f aca="true" t="shared" si="0" ref="E42:E48">IF($A$39&lt;VALUE(LEFT(A42,1))," ",IF($A$39=VALUE(LEFT(A42,1)),($G$35-$G$36-$G$34)-($E$40*($A$39-1)),E41))</f>
        <v>5546.67</v>
      </c>
      <c r="F42" s="37">
        <f aca="true" t="shared" si="1" ref="F42:F48">IF($A$39&lt;VALUE(LEFT(A42,1))," ",IF($A$39=VALUE(LEFT(A42,1)),$G$34-($F$40*($A$39-1)),F41))</f>
        <v>490</v>
      </c>
      <c r="G42" s="22">
        <f aca="true" t="shared" si="2" ref="G42:G48">IF($A$39&lt;VALUE(LEFT(A42,1))," ",SUM(E42:F42))</f>
        <v>6036.67</v>
      </c>
    </row>
    <row r="43" spans="1:7" ht="13.5">
      <c r="A43" s="64" t="s">
        <v>45</v>
      </c>
      <c r="B43" s="64"/>
      <c r="C43" s="64"/>
      <c r="D43" s="36">
        <f aca="true" t="shared" si="3" ref="D43:D48">IF($A$39&lt;VALUE(LEFT(A43,1))," ",DATE(YEAR(D42+30),MONTH(D42+30),DAY(D42)))</f>
        <v>44333</v>
      </c>
      <c r="E43" s="20">
        <f t="shared" si="0"/>
        <v>5546.67</v>
      </c>
      <c r="F43" s="37">
        <f t="shared" si="1"/>
        <v>490</v>
      </c>
      <c r="G43" s="22">
        <f t="shared" si="2"/>
        <v>6036.67</v>
      </c>
    </row>
    <row r="44" spans="1:7" ht="13.5">
      <c r="A44" s="64" t="s">
        <v>46</v>
      </c>
      <c r="B44" s="64"/>
      <c r="C44" s="64"/>
      <c r="D44" s="36">
        <f t="shared" si="3"/>
        <v>44364</v>
      </c>
      <c r="E44" s="20">
        <f t="shared" si="0"/>
        <v>5546.67</v>
      </c>
      <c r="F44" s="37">
        <f t="shared" si="1"/>
        <v>490</v>
      </c>
      <c r="G44" s="22">
        <f t="shared" si="2"/>
        <v>6036.67</v>
      </c>
    </row>
    <row r="45" spans="1:7" ht="13.5">
      <c r="A45" s="64" t="s">
        <v>47</v>
      </c>
      <c r="B45" s="64"/>
      <c r="C45" s="64"/>
      <c r="D45" s="36">
        <f t="shared" si="3"/>
        <v>44394</v>
      </c>
      <c r="E45" s="20">
        <f t="shared" si="0"/>
        <v>5546.67</v>
      </c>
      <c r="F45" s="37">
        <f t="shared" si="1"/>
        <v>490</v>
      </c>
      <c r="G45" s="22">
        <f t="shared" si="2"/>
        <v>6036.67</v>
      </c>
    </row>
    <row r="46" spans="1:7" ht="13.5">
      <c r="A46" s="64" t="s">
        <v>48</v>
      </c>
      <c r="B46" s="64"/>
      <c r="C46" s="64"/>
      <c r="D46" s="36">
        <f t="shared" si="3"/>
        <v>44425</v>
      </c>
      <c r="E46" s="20">
        <f t="shared" si="0"/>
        <v>5546.67</v>
      </c>
      <c r="F46" s="37">
        <f t="shared" si="1"/>
        <v>490</v>
      </c>
      <c r="G46" s="22">
        <f t="shared" si="2"/>
        <v>6036.67</v>
      </c>
    </row>
    <row r="47" spans="1:7" ht="13.5">
      <c r="A47" s="64" t="s">
        <v>49</v>
      </c>
      <c r="B47" s="64"/>
      <c r="C47" s="64"/>
      <c r="D47" s="36">
        <f t="shared" si="3"/>
        <v>44456</v>
      </c>
      <c r="E47" s="20">
        <f t="shared" si="0"/>
        <v>5546.67</v>
      </c>
      <c r="F47" s="37">
        <f t="shared" si="1"/>
        <v>490</v>
      </c>
      <c r="G47" s="22">
        <f t="shared" si="2"/>
        <v>6036.67</v>
      </c>
    </row>
    <row r="48" spans="1:7" ht="13.5">
      <c r="A48" s="64" t="s">
        <v>50</v>
      </c>
      <c r="B48" s="64"/>
      <c r="C48" s="64"/>
      <c r="D48" s="36">
        <f t="shared" si="3"/>
        <v>44486</v>
      </c>
      <c r="E48" s="20">
        <f t="shared" si="0"/>
        <v>5546.67</v>
      </c>
      <c r="F48" s="37">
        <f t="shared" si="1"/>
        <v>490</v>
      </c>
      <c r="G48" s="22">
        <f t="shared" si="2"/>
        <v>6036.67</v>
      </c>
    </row>
    <row r="49" spans="1:7" ht="13.5">
      <c r="A49" s="64" t="s">
        <v>51</v>
      </c>
      <c r="B49" s="64"/>
      <c r="C49" s="64"/>
      <c r="D49" s="36">
        <f>IF($A$39&lt;VALUE(LEFT(A49,2))," ",DATE(YEAR(D48+30),MONTH(D48+30),DAY(D48)))</f>
        <v>44517</v>
      </c>
      <c r="E49" s="20">
        <f>IF($A$39&lt;VALUE(LEFT(A49,2))," ",IF($A$39=VALUE(LEFT(A49,2)),($G$35-$G$36-$G$34)-($E$40*($A$39-1)),E48))</f>
        <v>5546.67</v>
      </c>
      <c r="F49" s="37">
        <f>IF($A$39&lt;VALUE(LEFT(A49,2))," ",IF($A$39=VALUE(LEFT(A49,2)),$G$34-($F$40*($A$39-1)),F48))</f>
        <v>490</v>
      </c>
      <c r="G49" s="22">
        <f>IF($A$39&lt;VALUE(LEFT(A49,2))," ",SUM(E49:F49))</f>
        <v>6036.67</v>
      </c>
    </row>
    <row r="50" spans="1:7" ht="13.5">
      <c r="A50" s="64" t="s">
        <v>52</v>
      </c>
      <c r="B50" s="64"/>
      <c r="C50" s="64"/>
      <c r="D50" s="36">
        <f aca="true" t="shared" si="4" ref="D50:D63">IF($A$39&lt;VALUE(LEFT(A50,2))," ",DATE(YEAR(D49+30),MONTH(D49+30),DAY(D49)))</f>
        <v>44547</v>
      </c>
      <c r="E50" s="20">
        <f aca="true" t="shared" si="5" ref="E50:E62">IF($A$39&lt;VALUE(LEFT(A50,2))," ",IF($A$39=VALUE(LEFT(A50,2)),($G$35-$G$36-$G$34)-($E$40*($A$39-1)),E49))</f>
        <v>5546.67</v>
      </c>
      <c r="F50" s="37">
        <f aca="true" t="shared" si="6" ref="F50:F62">IF($A$39&lt;VALUE(LEFT(A50,2))," ",IF($A$39=VALUE(LEFT(A50,2)),$G$34-($F$40*($A$39-1)),F49))</f>
        <v>490</v>
      </c>
      <c r="G50" s="22">
        <f aca="true" t="shared" si="7" ref="G50:G62">IF($A$39&lt;VALUE(LEFT(A50,2))," ",SUM(E50:F50))</f>
        <v>6036.67</v>
      </c>
    </row>
    <row r="51" spans="1:7" ht="13.5">
      <c r="A51" s="64" t="s">
        <v>53</v>
      </c>
      <c r="B51" s="64"/>
      <c r="C51" s="64"/>
      <c r="D51" s="36">
        <f t="shared" si="4"/>
        <v>44578</v>
      </c>
      <c r="E51" s="20">
        <f t="shared" si="5"/>
        <v>5546.67</v>
      </c>
      <c r="F51" s="37">
        <f t="shared" si="6"/>
        <v>490</v>
      </c>
      <c r="G51" s="22">
        <f t="shared" si="7"/>
        <v>6036.67</v>
      </c>
    </row>
    <row r="52" spans="1:7" ht="13.5">
      <c r="A52" s="64" t="s">
        <v>54</v>
      </c>
      <c r="B52" s="64"/>
      <c r="C52" s="64"/>
      <c r="D52" s="36">
        <f t="shared" si="4"/>
        <v>44609</v>
      </c>
      <c r="E52" s="20">
        <f t="shared" si="5"/>
        <v>5546.67</v>
      </c>
      <c r="F52" s="37">
        <f t="shared" si="6"/>
        <v>490</v>
      </c>
      <c r="G52" s="22">
        <f t="shared" si="7"/>
        <v>6036.67</v>
      </c>
    </row>
    <row r="53" spans="1:7" ht="13.5">
      <c r="A53" s="64" t="s">
        <v>55</v>
      </c>
      <c r="B53" s="64"/>
      <c r="C53" s="64"/>
      <c r="D53" s="36">
        <f t="shared" si="4"/>
        <v>44637</v>
      </c>
      <c r="E53" s="20">
        <f t="shared" si="5"/>
        <v>5546.67</v>
      </c>
      <c r="F53" s="37">
        <f t="shared" si="6"/>
        <v>490</v>
      </c>
      <c r="G53" s="22">
        <f t="shared" si="7"/>
        <v>6036.67</v>
      </c>
    </row>
    <row r="54" spans="1:7" ht="13.5">
      <c r="A54" s="64" t="s">
        <v>56</v>
      </c>
      <c r="B54" s="64"/>
      <c r="C54" s="64"/>
      <c r="D54" s="36">
        <f t="shared" si="4"/>
        <v>44668</v>
      </c>
      <c r="E54" s="20">
        <f t="shared" si="5"/>
        <v>5546.67</v>
      </c>
      <c r="F54" s="37">
        <f t="shared" si="6"/>
        <v>490</v>
      </c>
      <c r="G54" s="22">
        <f t="shared" si="7"/>
        <v>6036.67</v>
      </c>
    </row>
    <row r="55" spans="1:7" ht="13.5">
      <c r="A55" s="64" t="s">
        <v>57</v>
      </c>
      <c r="B55" s="64"/>
      <c r="C55" s="64"/>
      <c r="D55" s="36">
        <f t="shared" si="4"/>
        <v>44698</v>
      </c>
      <c r="E55" s="20">
        <f t="shared" si="5"/>
        <v>5546.67</v>
      </c>
      <c r="F55" s="37">
        <f t="shared" si="6"/>
        <v>490</v>
      </c>
      <c r="G55" s="22">
        <f t="shared" si="7"/>
        <v>6036.67</v>
      </c>
    </row>
    <row r="56" spans="1:7" ht="13.5">
      <c r="A56" s="64" t="s">
        <v>58</v>
      </c>
      <c r="B56" s="64"/>
      <c r="C56" s="64"/>
      <c r="D56" s="36">
        <f t="shared" si="4"/>
        <v>44729</v>
      </c>
      <c r="E56" s="20">
        <f t="shared" si="5"/>
        <v>5546.67</v>
      </c>
      <c r="F56" s="37">
        <f t="shared" si="6"/>
        <v>490</v>
      </c>
      <c r="G56" s="22">
        <f t="shared" si="7"/>
        <v>6036.67</v>
      </c>
    </row>
    <row r="57" spans="1:7" ht="13.5">
      <c r="A57" s="64" t="s">
        <v>59</v>
      </c>
      <c r="B57" s="64"/>
      <c r="C57" s="64"/>
      <c r="D57" s="36">
        <f t="shared" si="4"/>
        <v>44759</v>
      </c>
      <c r="E57" s="20">
        <f t="shared" si="5"/>
        <v>5546.67</v>
      </c>
      <c r="F57" s="37">
        <f t="shared" si="6"/>
        <v>490</v>
      </c>
      <c r="G57" s="22">
        <f t="shared" si="7"/>
        <v>6036.67</v>
      </c>
    </row>
    <row r="58" spans="1:7" ht="13.5">
      <c r="A58" s="64" t="s">
        <v>60</v>
      </c>
      <c r="B58" s="64"/>
      <c r="C58" s="64"/>
      <c r="D58" s="36">
        <f t="shared" si="4"/>
        <v>44790</v>
      </c>
      <c r="E58" s="20">
        <f t="shared" si="5"/>
        <v>5546.67</v>
      </c>
      <c r="F58" s="37">
        <f t="shared" si="6"/>
        <v>490</v>
      </c>
      <c r="G58" s="22">
        <f t="shared" si="7"/>
        <v>6036.67</v>
      </c>
    </row>
    <row r="59" spans="1:7" ht="13.5">
      <c r="A59" s="64" t="s">
        <v>61</v>
      </c>
      <c r="B59" s="64"/>
      <c r="C59" s="64"/>
      <c r="D59" s="36">
        <f t="shared" si="4"/>
        <v>44821</v>
      </c>
      <c r="E59" s="20">
        <f t="shared" si="5"/>
        <v>5546.67</v>
      </c>
      <c r="F59" s="37">
        <f t="shared" si="6"/>
        <v>490</v>
      </c>
      <c r="G59" s="22">
        <f t="shared" si="7"/>
        <v>6036.67</v>
      </c>
    </row>
    <row r="60" spans="1:7" ht="13.5">
      <c r="A60" s="64" t="s">
        <v>62</v>
      </c>
      <c r="B60" s="64"/>
      <c r="C60" s="64"/>
      <c r="D60" s="36">
        <f t="shared" si="4"/>
        <v>44851</v>
      </c>
      <c r="E60" s="20">
        <f t="shared" si="5"/>
        <v>5546.67</v>
      </c>
      <c r="F60" s="37">
        <f t="shared" si="6"/>
        <v>490</v>
      </c>
      <c r="G60" s="22">
        <f t="shared" si="7"/>
        <v>6036.67</v>
      </c>
    </row>
    <row r="61" spans="1:7" ht="13.5">
      <c r="A61" s="64" t="s">
        <v>63</v>
      </c>
      <c r="B61" s="64"/>
      <c r="C61" s="64"/>
      <c r="D61" s="36">
        <f t="shared" si="4"/>
        <v>44882</v>
      </c>
      <c r="E61" s="20">
        <f t="shared" si="5"/>
        <v>5546.67</v>
      </c>
      <c r="F61" s="37">
        <f t="shared" si="6"/>
        <v>490</v>
      </c>
      <c r="G61" s="22">
        <f t="shared" si="7"/>
        <v>6036.67</v>
      </c>
    </row>
    <row r="62" spans="1:7" ht="13.5">
      <c r="A62" s="64" t="s">
        <v>64</v>
      </c>
      <c r="B62" s="64"/>
      <c r="C62" s="64"/>
      <c r="D62" s="36">
        <f t="shared" si="4"/>
        <v>44912</v>
      </c>
      <c r="E62" s="20">
        <f t="shared" si="5"/>
        <v>5546.67</v>
      </c>
      <c r="F62" s="37">
        <f t="shared" si="6"/>
        <v>490</v>
      </c>
      <c r="G62" s="22">
        <f t="shared" si="7"/>
        <v>6036.67</v>
      </c>
    </row>
    <row r="63" spans="1:7" ht="13.5">
      <c r="A63" s="64" t="s">
        <v>65</v>
      </c>
      <c r="B63" s="64"/>
      <c r="C63" s="64"/>
      <c r="D63" s="36">
        <f t="shared" si="4"/>
        <v>44943</v>
      </c>
      <c r="E63" s="20">
        <f>IF($A$39&lt;VALUE(LEFT(A63,2))," ",IF($A$39=VALUE(LEFT(A63,2)),($G$35-$G$36-$G$34)-($E$40*($A$39-1)),E62))</f>
        <v>5546.67</v>
      </c>
      <c r="F63" s="37">
        <f>IF($A$39&lt;VALUE(LEFT(A63,2))," ",IF($A$39=VALUE(LEFT(A63,2)),$G$34-($F$40*($A$39-1)),F62))</f>
        <v>490</v>
      </c>
      <c r="G63" s="22">
        <f>IF($A$39&lt;VALUE(LEFT(A63,2))," ",SUM(E63:F63))</f>
        <v>6036.67</v>
      </c>
    </row>
    <row r="64" spans="1:7" ht="13.5">
      <c r="A64" s="64" t="s">
        <v>66</v>
      </c>
      <c r="B64" s="64"/>
      <c r="C64" s="64"/>
      <c r="D64" s="36">
        <f aca="true" t="shared" si="8" ref="D64:D75">IF($A$39&lt;VALUE(LEFT(A64,2))," ",DATE(YEAR(D63+30),MONTH(D63+30),DAY(D63)))</f>
        <v>44974</v>
      </c>
      <c r="E64" s="20">
        <f aca="true" t="shared" si="9" ref="E64:E75">IF($A$39&lt;VALUE(LEFT(A64,2))," ",IF($A$39=VALUE(LEFT(A64,2)),($G$35-$G$36-$G$34)-($E$40*($A$39-1)),E63))</f>
        <v>5546.67</v>
      </c>
      <c r="F64" s="37">
        <f aca="true" t="shared" si="10" ref="F64:F75">IF($A$39&lt;VALUE(LEFT(A64,2))," ",IF($A$39=VALUE(LEFT(A64,2)),$G$34-($F$40*($A$39-1)),F63))</f>
        <v>490</v>
      </c>
      <c r="G64" s="22">
        <f aca="true" t="shared" si="11" ref="G64:G75">IF($A$39&lt;VALUE(LEFT(A64,2))," ",SUM(E64:F64))</f>
        <v>6036.67</v>
      </c>
    </row>
    <row r="65" spans="1:7" ht="13.5">
      <c r="A65" s="64" t="s">
        <v>67</v>
      </c>
      <c r="B65" s="64"/>
      <c r="C65" s="64"/>
      <c r="D65" s="36">
        <f t="shared" si="8"/>
        <v>45002</v>
      </c>
      <c r="E65" s="20">
        <f t="shared" si="9"/>
        <v>5546.67</v>
      </c>
      <c r="F65" s="37">
        <f t="shared" si="10"/>
        <v>490</v>
      </c>
      <c r="G65" s="22">
        <f t="shared" si="11"/>
        <v>6036.67</v>
      </c>
    </row>
    <row r="66" spans="1:7" ht="13.5">
      <c r="A66" s="64" t="s">
        <v>68</v>
      </c>
      <c r="B66" s="64"/>
      <c r="C66" s="64"/>
      <c r="D66" s="36">
        <f t="shared" si="8"/>
        <v>45033</v>
      </c>
      <c r="E66" s="20">
        <f t="shared" si="9"/>
        <v>5546.67</v>
      </c>
      <c r="F66" s="37">
        <f t="shared" si="10"/>
        <v>490</v>
      </c>
      <c r="G66" s="22">
        <f t="shared" si="11"/>
        <v>6036.67</v>
      </c>
    </row>
    <row r="67" spans="1:7" ht="13.5">
      <c r="A67" s="64" t="s">
        <v>69</v>
      </c>
      <c r="B67" s="64"/>
      <c r="C67" s="64"/>
      <c r="D67" s="36">
        <f t="shared" si="8"/>
        <v>45063</v>
      </c>
      <c r="E67" s="20">
        <f t="shared" si="9"/>
        <v>5546.67</v>
      </c>
      <c r="F67" s="37">
        <f t="shared" si="10"/>
        <v>490</v>
      </c>
      <c r="G67" s="22">
        <f t="shared" si="11"/>
        <v>6036.67</v>
      </c>
    </row>
    <row r="68" spans="1:7" ht="13.5">
      <c r="A68" s="64" t="s">
        <v>70</v>
      </c>
      <c r="B68" s="64"/>
      <c r="C68" s="64"/>
      <c r="D68" s="36">
        <f t="shared" si="8"/>
        <v>45094</v>
      </c>
      <c r="E68" s="20">
        <f t="shared" si="9"/>
        <v>5546.67</v>
      </c>
      <c r="F68" s="37">
        <f t="shared" si="10"/>
        <v>490</v>
      </c>
      <c r="G68" s="22">
        <f t="shared" si="11"/>
        <v>6036.67</v>
      </c>
    </row>
    <row r="69" spans="1:7" ht="13.5">
      <c r="A69" s="64" t="s">
        <v>71</v>
      </c>
      <c r="B69" s="64"/>
      <c r="C69" s="64"/>
      <c r="D69" s="36">
        <f t="shared" si="8"/>
        <v>45124</v>
      </c>
      <c r="E69" s="20">
        <f t="shared" si="9"/>
        <v>5546.67</v>
      </c>
      <c r="F69" s="37">
        <f t="shared" si="10"/>
        <v>490</v>
      </c>
      <c r="G69" s="22">
        <f t="shared" si="11"/>
        <v>6036.67</v>
      </c>
    </row>
    <row r="70" spans="1:7" ht="13.5">
      <c r="A70" s="64" t="s">
        <v>72</v>
      </c>
      <c r="B70" s="64"/>
      <c r="C70" s="64"/>
      <c r="D70" s="36">
        <f t="shared" si="8"/>
        <v>45155</v>
      </c>
      <c r="E70" s="20">
        <f t="shared" si="9"/>
        <v>5546.67</v>
      </c>
      <c r="F70" s="37">
        <f t="shared" si="10"/>
        <v>490</v>
      </c>
      <c r="G70" s="22">
        <f t="shared" si="11"/>
        <v>6036.67</v>
      </c>
    </row>
    <row r="71" spans="1:7" ht="13.5">
      <c r="A71" s="64" t="s">
        <v>73</v>
      </c>
      <c r="B71" s="64"/>
      <c r="C71" s="64"/>
      <c r="D71" s="36">
        <f t="shared" si="8"/>
        <v>45186</v>
      </c>
      <c r="E71" s="20">
        <f t="shared" si="9"/>
        <v>5546.67</v>
      </c>
      <c r="F71" s="37">
        <f t="shared" si="10"/>
        <v>490</v>
      </c>
      <c r="G71" s="22">
        <f t="shared" si="11"/>
        <v>6036.67</v>
      </c>
    </row>
    <row r="72" spans="1:7" ht="13.5">
      <c r="A72" s="64" t="s">
        <v>74</v>
      </c>
      <c r="B72" s="64"/>
      <c r="C72" s="64"/>
      <c r="D72" s="36">
        <f t="shared" si="8"/>
        <v>45216</v>
      </c>
      <c r="E72" s="20">
        <f t="shared" si="9"/>
        <v>5546.67</v>
      </c>
      <c r="F72" s="37">
        <f t="shared" si="10"/>
        <v>490</v>
      </c>
      <c r="G72" s="22">
        <f t="shared" si="11"/>
        <v>6036.67</v>
      </c>
    </row>
    <row r="73" spans="1:7" ht="13.5">
      <c r="A73" s="64" t="s">
        <v>75</v>
      </c>
      <c r="B73" s="64"/>
      <c r="C73" s="64"/>
      <c r="D73" s="36">
        <f t="shared" si="8"/>
        <v>45247</v>
      </c>
      <c r="E73" s="20">
        <f t="shared" si="9"/>
        <v>5546.67</v>
      </c>
      <c r="F73" s="37">
        <f t="shared" si="10"/>
        <v>490</v>
      </c>
      <c r="G73" s="22">
        <f t="shared" si="11"/>
        <v>6036.67</v>
      </c>
    </row>
    <row r="74" spans="1:7" ht="13.5">
      <c r="A74" s="64" t="s">
        <v>76</v>
      </c>
      <c r="B74" s="64"/>
      <c r="C74" s="64"/>
      <c r="D74" s="36">
        <f t="shared" si="8"/>
        <v>45277</v>
      </c>
      <c r="E74" s="20">
        <f t="shared" si="9"/>
        <v>5546.67</v>
      </c>
      <c r="F74" s="37">
        <f t="shared" si="10"/>
        <v>490</v>
      </c>
      <c r="G74" s="22">
        <f t="shared" si="11"/>
        <v>6036.67</v>
      </c>
    </row>
    <row r="75" spans="1:7" ht="13.5">
      <c r="A75" s="64" t="s">
        <v>77</v>
      </c>
      <c r="B75" s="64"/>
      <c r="C75" s="64"/>
      <c r="D75" s="36">
        <f t="shared" si="8"/>
        <v>45308</v>
      </c>
      <c r="E75" s="20">
        <f t="shared" si="9"/>
        <v>5546.67</v>
      </c>
      <c r="F75" s="37">
        <f t="shared" si="10"/>
        <v>490</v>
      </c>
      <c r="G75" s="22">
        <f t="shared" si="11"/>
        <v>6036.67</v>
      </c>
    </row>
    <row r="76" spans="1:7" ht="13.5">
      <c r="A76" s="64" t="s">
        <v>115</v>
      </c>
      <c r="B76" s="64"/>
      <c r="C76" s="64"/>
      <c r="D76" s="36">
        <f aca="true" t="shared" si="12" ref="D76:D99">IF($A$39&lt;VALUE(LEFT(A76,2))," ",DATE(YEAR(D75+30),MONTH(D75+30),DAY(D75)))</f>
        <v>45339</v>
      </c>
      <c r="E76" s="20">
        <f aca="true" t="shared" si="13" ref="E76:E99">IF($A$39&lt;VALUE(LEFT(A76,2))," ",IF($A$39=VALUE(LEFT(A76,2)),($G$35-$G$36-$G$34)-($E$40*($A$39-1)),E75))</f>
        <v>5546.67</v>
      </c>
      <c r="F76" s="37">
        <f aca="true" t="shared" si="14" ref="F76:F99">IF($A$39&lt;VALUE(LEFT(A76,2))," ",IF($A$39=VALUE(LEFT(A76,2)),$G$34-($F$40*($A$39-1)),F75))</f>
        <v>490</v>
      </c>
      <c r="G76" s="22">
        <f aca="true" t="shared" si="15" ref="G76:G99">IF($A$39&lt;VALUE(LEFT(A76,2))," ",SUM(E76:F76))</f>
        <v>6036.67</v>
      </c>
    </row>
    <row r="77" spans="1:7" ht="13.5">
      <c r="A77" s="64" t="s">
        <v>116</v>
      </c>
      <c r="B77" s="64"/>
      <c r="C77" s="64"/>
      <c r="D77" s="36">
        <f t="shared" si="12"/>
        <v>45368</v>
      </c>
      <c r="E77" s="20">
        <f t="shared" si="13"/>
        <v>5546.67</v>
      </c>
      <c r="F77" s="37">
        <f t="shared" si="14"/>
        <v>490</v>
      </c>
      <c r="G77" s="22">
        <f t="shared" si="15"/>
        <v>6036.67</v>
      </c>
    </row>
    <row r="78" spans="1:7" ht="13.5">
      <c r="A78" s="64" t="s">
        <v>117</v>
      </c>
      <c r="B78" s="64"/>
      <c r="C78" s="64"/>
      <c r="D78" s="36">
        <f t="shared" si="12"/>
        <v>45399</v>
      </c>
      <c r="E78" s="20">
        <f t="shared" si="13"/>
        <v>5546.67</v>
      </c>
      <c r="F78" s="37">
        <f t="shared" si="14"/>
        <v>490</v>
      </c>
      <c r="G78" s="22">
        <f t="shared" si="15"/>
        <v>6036.67</v>
      </c>
    </row>
    <row r="79" spans="1:7" ht="13.5">
      <c r="A79" s="64" t="s">
        <v>118</v>
      </c>
      <c r="B79" s="64"/>
      <c r="C79" s="64"/>
      <c r="D79" s="36">
        <f t="shared" si="12"/>
        <v>45429</v>
      </c>
      <c r="E79" s="20">
        <f t="shared" si="13"/>
        <v>5546.67</v>
      </c>
      <c r="F79" s="37">
        <f t="shared" si="14"/>
        <v>490</v>
      </c>
      <c r="G79" s="22">
        <f t="shared" si="15"/>
        <v>6036.67</v>
      </c>
    </row>
    <row r="80" spans="1:7" ht="13.5">
      <c r="A80" s="64" t="s">
        <v>119</v>
      </c>
      <c r="B80" s="64"/>
      <c r="C80" s="64"/>
      <c r="D80" s="36">
        <f t="shared" si="12"/>
        <v>45460</v>
      </c>
      <c r="E80" s="20">
        <f t="shared" si="13"/>
        <v>5546.67</v>
      </c>
      <c r="F80" s="37">
        <f t="shared" si="14"/>
        <v>490</v>
      </c>
      <c r="G80" s="22">
        <f t="shared" si="15"/>
        <v>6036.67</v>
      </c>
    </row>
    <row r="81" spans="1:7" ht="13.5">
      <c r="A81" s="64" t="s">
        <v>120</v>
      </c>
      <c r="B81" s="64"/>
      <c r="C81" s="64"/>
      <c r="D81" s="36">
        <f t="shared" si="12"/>
        <v>45490</v>
      </c>
      <c r="E81" s="20">
        <f t="shared" si="13"/>
        <v>5546.67</v>
      </c>
      <c r="F81" s="37">
        <f t="shared" si="14"/>
        <v>490</v>
      </c>
      <c r="G81" s="22">
        <f t="shared" si="15"/>
        <v>6036.67</v>
      </c>
    </row>
    <row r="82" spans="1:7" ht="13.5">
      <c r="A82" s="64" t="s">
        <v>121</v>
      </c>
      <c r="B82" s="64"/>
      <c r="C82" s="64"/>
      <c r="D82" s="36">
        <f t="shared" si="12"/>
        <v>45521</v>
      </c>
      <c r="E82" s="20">
        <f t="shared" si="13"/>
        <v>5546.67</v>
      </c>
      <c r="F82" s="37">
        <f t="shared" si="14"/>
        <v>490</v>
      </c>
      <c r="G82" s="22">
        <f t="shared" si="15"/>
        <v>6036.67</v>
      </c>
    </row>
    <row r="83" spans="1:7" ht="13.5">
      <c r="A83" s="64" t="s">
        <v>122</v>
      </c>
      <c r="B83" s="64"/>
      <c r="C83" s="64"/>
      <c r="D83" s="36">
        <f t="shared" si="12"/>
        <v>45552</v>
      </c>
      <c r="E83" s="20">
        <f t="shared" si="13"/>
        <v>5546.67</v>
      </c>
      <c r="F83" s="37">
        <f t="shared" si="14"/>
        <v>490</v>
      </c>
      <c r="G83" s="22">
        <f t="shared" si="15"/>
        <v>6036.67</v>
      </c>
    </row>
    <row r="84" spans="1:7" ht="13.5">
      <c r="A84" s="64" t="s">
        <v>123</v>
      </c>
      <c r="B84" s="64"/>
      <c r="C84" s="64"/>
      <c r="D84" s="36">
        <f t="shared" si="12"/>
        <v>45582</v>
      </c>
      <c r="E84" s="20">
        <f t="shared" si="13"/>
        <v>5546.67</v>
      </c>
      <c r="F84" s="37">
        <f t="shared" si="14"/>
        <v>490</v>
      </c>
      <c r="G84" s="22">
        <f t="shared" si="15"/>
        <v>6036.67</v>
      </c>
    </row>
    <row r="85" spans="1:7" ht="13.5">
      <c r="A85" s="64" t="s">
        <v>124</v>
      </c>
      <c r="B85" s="64"/>
      <c r="C85" s="64"/>
      <c r="D85" s="36">
        <f t="shared" si="12"/>
        <v>45613</v>
      </c>
      <c r="E85" s="20">
        <f t="shared" si="13"/>
        <v>5546.67</v>
      </c>
      <c r="F85" s="37">
        <f t="shared" si="14"/>
        <v>490</v>
      </c>
      <c r="G85" s="22">
        <f t="shared" si="15"/>
        <v>6036.67</v>
      </c>
    </row>
    <row r="86" spans="1:7" ht="13.5">
      <c r="A86" s="64" t="s">
        <v>125</v>
      </c>
      <c r="B86" s="64"/>
      <c r="C86" s="64"/>
      <c r="D86" s="36">
        <f t="shared" si="12"/>
        <v>45643</v>
      </c>
      <c r="E86" s="20">
        <f t="shared" si="13"/>
        <v>5546.67</v>
      </c>
      <c r="F86" s="37">
        <f t="shared" si="14"/>
        <v>490</v>
      </c>
      <c r="G86" s="22">
        <f t="shared" si="15"/>
        <v>6036.67</v>
      </c>
    </row>
    <row r="87" spans="1:7" ht="13.5">
      <c r="A87" s="64" t="s">
        <v>126</v>
      </c>
      <c r="B87" s="64"/>
      <c r="C87" s="64"/>
      <c r="D87" s="36">
        <f t="shared" si="12"/>
        <v>45674</v>
      </c>
      <c r="E87" s="20">
        <f t="shared" si="13"/>
        <v>5546.67</v>
      </c>
      <c r="F87" s="37">
        <f t="shared" si="14"/>
        <v>490</v>
      </c>
      <c r="G87" s="22">
        <f t="shared" si="15"/>
        <v>6036.67</v>
      </c>
    </row>
    <row r="88" spans="1:7" ht="13.5">
      <c r="A88" s="64" t="s">
        <v>127</v>
      </c>
      <c r="B88" s="64"/>
      <c r="C88" s="64"/>
      <c r="D88" s="36">
        <f t="shared" si="12"/>
        <v>45705</v>
      </c>
      <c r="E88" s="20">
        <f t="shared" si="13"/>
        <v>5546.67</v>
      </c>
      <c r="F88" s="37">
        <f t="shared" si="14"/>
        <v>490</v>
      </c>
      <c r="G88" s="22">
        <f t="shared" si="15"/>
        <v>6036.67</v>
      </c>
    </row>
    <row r="89" spans="1:7" ht="13.5">
      <c r="A89" s="64" t="s">
        <v>128</v>
      </c>
      <c r="B89" s="64"/>
      <c r="C89" s="64"/>
      <c r="D89" s="36">
        <f t="shared" si="12"/>
        <v>45733</v>
      </c>
      <c r="E89" s="20">
        <f t="shared" si="13"/>
        <v>5546.67</v>
      </c>
      <c r="F89" s="37">
        <f t="shared" si="14"/>
        <v>490</v>
      </c>
      <c r="G89" s="22">
        <f t="shared" si="15"/>
        <v>6036.67</v>
      </c>
    </row>
    <row r="90" spans="1:7" ht="13.5">
      <c r="A90" s="64" t="s">
        <v>129</v>
      </c>
      <c r="B90" s="64"/>
      <c r="C90" s="64"/>
      <c r="D90" s="36">
        <f t="shared" si="12"/>
        <v>45764</v>
      </c>
      <c r="E90" s="20">
        <f t="shared" si="13"/>
        <v>5546.67</v>
      </c>
      <c r="F90" s="37">
        <f t="shared" si="14"/>
        <v>490</v>
      </c>
      <c r="G90" s="22">
        <f t="shared" si="15"/>
        <v>6036.67</v>
      </c>
    </row>
    <row r="91" spans="1:7" ht="13.5">
      <c r="A91" s="64" t="s">
        <v>130</v>
      </c>
      <c r="B91" s="64"/>
      <c r="C91" s="64"/>
      <c r="D91" s="36">
        <f t="shared" si="12"/>
        <v>45794</v>
      </c>
      <c r="E91" s="20">
        <f t="shared" si="13"/>
        <v>5546.67</v>
      </c>
      <c r="F91" s="37">
        <f t="shared" si="14"/>
        <v>490</v>
      </c>
      <c r="G91" s="22">
        <f t="shared" si="15"/>
        <v>6036.67</v>
      </c>
    </row>
    <row r="92" spans="1:7" ht="13.5">
      <c r="A92" s="64" t="s">
        <v>131</v>
      </c>
      <c r="B92" s="64"/>
      <c r="C92" s="64"/>
      <c r="D92" s="36">
        <f t="shared" si="12"/>
        <v>45825</v>
      </c>
      <c r="E92" s="20">
        <f t="shared" si="13"/>
        <v>5546.67</v>
      </c>
      <c r="F92" s="37">
        <f t="shared" si="14"/>
        <v>490</v>
      </c>
      <c r="G92" s="22">
        <f t="shared" si="15"/>
        <v>6036.67</v>
      </c>
    </row>
    <row r="93" spans="1:7" ht="13.5">
      <c r="A93" s="64" t="s">
        <v>132</v>
      </c>
      <c r="B93" s="64"/>
      <c r="C93" s="64"/>
      <c r="D93" s="36">
        <f t="shared" si="12"/>
        <v>45855</v>
      </c>
      <c r="E93" s="20">
        <f t="shared" si="13"/>
        <v>5546.67</v>
      </c>
      <c r="F93" s="37">
        <f t="shared" si="14"/>
        <v>490</v>
      </c>
      <c r="G93" s="22">
        <f t="shared" si="15"/>
        <v>6036.67</v>
      </c>
    </row>
    <row r="94" spans="1:7" ht="13.5">
      <c r="A94" s="64" t="s">
        <v>133</v>
      </c>
      <c r="B94" s="64"/>
      <c r="C94" s="64"/>
      <c r="D94" s="36">
        <f t="shared" si="12"/>
        <v>45886</v>
      </c>
      <c r="E94" s="20">
        <f t="shared" si="13"/>
        <v>5546.67</v>
      </c>
      <c r="F94" s="37">
        <f t="shared" si="14"/>
        <v>490</v>
      </c>
      <c r="G94" s="22">
        <f t="shared" si="15"/>
        <v>6036.67</v>
      </c>
    </row>
    <row r="95" spans="1:7" ht="13.5">
      <c r="A95" s="64" t="s">
        <v>134</v>
      </c>
      <c r="B95" s="64"/>
      <c r="C95" s="64"/>
      <c r="D95" s="36">
        <f t="shared" si="12"/>
        <v>45917</v>
      </c>
      <c r="E95" s="20">
        <f t="shared" si="13"/>
        <v>5546.67</v>
      </c>
      <c r="F95" s="37">
        <f t="shared" si="14"/>
        <v>490</v>
      </c>
      <c r="G95" s="22">
        <f t="shared" si="15"/>
        <v>6036.67</v>
      </c>
    </row>
    <row r="96" spans="1:7" ht="13.5">
      <c r="A96" s="64" t="s">
        <v>135</v>
      </c>
      <c r="B96" s="64"/>
      <c r="C96" s="64"/>
      <c r="D96" s="36">
        <f t="shared" si="12"/>
        <v>45947</v>
      </c>
      <c r="E96" s="20">
        <f t="shared" si="13"/>
        <v>5546.67</v>
      </c>
      <c r="F96" s="37">
        <f t="shared" si="14"/>
        <v>490</v>
      </c>
      <c r="G96" s="22">
        <f t="shared" si="15"/>
        <v>6036.67</v>
      </c>
    </row>
    <row r="97" spans="1:7" ht="13.5">
      <c r="A97" s="64" t="s">
        <v>136</v>
      </c>
      <c r="B97" s="64"/>
      <c r="C97" s="64"/>
      <c r="D97" s="36">
        <f t="shared" si="12"/>
        <v>45978</v>
      </c>
      <c r="E97" s="20">
        <f t="shared" si="13"/>
        <v>5546.67</v>
      </c>
      <c r="F97" s="37">
        <f t="shared" si="14"/>
        <v>490</v>
      </c>
      <c r="G97" s="22">
        <f t="shared" si="15"/>
        <v>6036.67</v>
      </c>
    </row>
    <row r="98" spans="1:7" ht="13.5">
      <c r="A98" s="64" t="s">
        <v>137</v>
      </c>
      <c r="B98" s="64"/>
      <c r="C98" s="64"/>
      <c r="D98" s="36">
        <f t="shared" si="12"/>
        <v>46008</v>
      </c>
      <c r="E98" s="20">
        <f t="shared" si="13"/>
        <v>5546.67</v>
      </c>
      <c r="F98" s="37">
        <f t="shared" si="14"/>
        <v>490</v>
      </c>
      <c r="G98" s="22">
        <f t="shared" si="15"/>
        <v>6036.67</v>
      </c>
    </row>
    <row r="99" spans="1:7" ht="13.5">
      <c r="A99" s="64" t="s">
        <v>138</v>
      </c>
      <c r="B99" s="64"/>
      <c r="C99" s="64"/>
      <c r="D99" s="36">
        <f t="shared" si="12"/>
        <v>46039</v>
      </c>
      <c r="E99" s="20">
        <f t="shared" si="13"/>
        <v>5546.469999999972</v>
      </c>
      <c r="F99" s="37">
        <f t="shared" si="14"/>
        <v>490</v>
      </c>
      <c r="G99" s="22">
        <f t="shared" si="15"/>
        <v>6036.469999999972</v>
      </c>
    </row>
    <row r="100" spans="2:7" ht="13.5">
      <c r="B100" s="38"/>
      <c r="E100" s="39"/>
      <c r="F100" s="29"/>
      <c r="G100" s="40"/>
    </row>
    <row r="101" ht="13.5">
      <c r="A101" s="26" t="s">
        <v>78</v>
      </c>
    </row>
    <row r="102" spans="2:6" ht="13.5">
      <c r="B102" s="1" t="s">
        <v>79</v>
      </c>
      <c r="F102" s="41">
        <f>D94</f>
        <v>45886</v>
      </c>
    </row>
    <row r="103" spans="2:9" ht="13.5">
      <c r="B103" s="1" t="s">
        <v>80</v>
      </c>
      <c r="F103" s="41">
        <f>D99+31</f>
        <v>46070</v>
      </c>
      <c r="G103" s="42">
        <f>ROUND(((G24+G25)*((100-A33)/100))+(G29*(100-A33)/100),2)</f>
        <v>1528800</v>
      </c>
      <c r="I103" s="22"/>
    </row>
    <row r="104" ht="13.5">
      <c r="B104" s="1" t="s">
        <v>81</v>
      </c>
    </row>
    <row r="106" spans="1:4" ht="13.5">
      <c r="A106" s="43" t="s">
        <v>82</v>
      </c>
      <c r="B106" s="44"/>
      <c r="C106" s="44"/>
      <c r="D106" s="44"/>
    </row>
    <row r="107" spans="1:7" ht="13.5">
      <c r="A107" s="63" t="s">
        <v>83</v>
      </c>
      <c r="B107" s="63"/>
      <c r="C107" s="63"/>
      <c r="D107" s="63"/>
      <c r="E107" s="63"/>
      <c r="F107" s="63"/>
      <c r="G107" s="63"/>
    </row>
    <row r="108" spans="1:4" ht="13.5">
      <c r="A108" s="44" t="s">
        <v>84</v>
      </c>
      <c r="B108" s="44"/>
      <c r="C108" s="44"/>
      <c r="D108" s="44"/>
    </row>
    <row r="109" spans="1:4" ht="13.5">
      <c r="A109" s="44" t="s">
        <v>85</v>
      </c>
      <c r="B109" s="44"/>
      <c r="C109" s="44"/>
      <c r="D109" s="44"/>
    </row>
    <row r="110" spans="1:4" ht="13.5">
      <c r="A110" s="44" t="s">
        <v>86</v>
      </c>
      <c r="B110" s="44"/>
      <c r="C110" s="44"/>
      <c r="D110" s="44"/>
    </row>
    <row r="111" spans="1:4" ht="13.5">
      <c r="A111" s="45" t="s">
        <v>87</v>
      </c>
      <c r="B111" s="44"/>
      <c r="C111" s="44"/>
      <c r="D111" s="44"/>
    </row>
    <row r="112" spans="1:4" ht="13.5">
      <c r="A112" s="45" t="s">
        <v>88</v>
      </c>
      <c r="B112" s="44"/>
      <c r="C112" s="44"/>
      <c r="D112" s="44"/>
    </row>
    <row r="113" spans="1:4" ht="13.5">
      <c r="A113" s="45" t="s">
        <v>89</v>
      </c>
      <c r="B113" s="44"/>
      <c r="C113" s="44"/>
      <c r="D113" s="44"/>
    </row>
    <row r="114" spans="1:4" ht="13.5">
      <c r="A114" s="45" t="s">
        <v>90</v>
      </c>
      <c r="B114" s="44"/>
      <c r="C114" s="44"/>
      <c r="D114" s="44"/>
    </row>
    <row r="115" spans="1:4" ht="13.5">
      <c r="A115" s="45" t="s">
        <v>91</v>
      </c>
      <c r="B115" s="44"/>
      <c r="C115" s="44"/>
      <c r="D115" s="44"/>
    </row>
    <row r="116" spans="1:7" ht="13.5">
      <c r="A116" s="63" t="s">
        <v>92</v>
      </c>
      <c r="B116" s="63"/>
      <c r="C116" s="63"/>
      <c r="D116" s="63"/>
      <c r="E116" s="63"/>
      <c r="F116" s="63"/>
      <c r="G116" s="63"/>
    </row>
    <row r="117" spans="1:7" ht="13.5">
      <c r="A117" s="63"/>
      <c r="B117" s="63"/>
      <c r="C117" s="63"/>
      <c r="D117" s="63"/>
      <c r="E117" s="63"/>
      <c r="F117" s="63"/>
      <c r="G117" s="63"/>
    </row>
    <row r="118" spans="1:7" ht="13.5">
      <c r="A118" s="73"/>
      <c r="B118" s="73"/>
      <c r="C118" s="73"/>
      <c r="D118" s="73"/>
      <c r="E118" s="73"/>
      <c r="F118" s="73"/>
      <c r="G118" s="73"/>
    </row>
    <row r="121" spans="1:5" ht="12.75">
      <c r="A121" s="1" t="s">
        <v>93</v>
      </c>
      <c r="E121" s="1" t="s">
        <v>94</v>
      </c>
    </row>
    <row r="124" spans="1:7" ht="13.5">
      <c r="A124" s="46"/>
      <c r="B124" s="46"/>
      <c r="C124" s="46"/>
      <c r="E124" s="46"/>
      <c r="F124" s="46"/>
      <c r="G124" s="46"/>
    </row>
    <row r="125" spans="1:5" ht="13.5">
      <c r="A125" s="1" t="s">
        <v>95</v>
      </c>
      <c r="E125" s="1" t="s">
        <v>95</v>
      </c>
    </row>
    <row r="126" spans="1:5" ht="13.5">
      <c r="A126" s="1" t="s">
        <v>96</v>
      </c>
      <c r="E126" s="1" t="s">
        <v>97</v>
      </c>
    </row>
    <row r="129" ht="13.5">
      <c r="A129" s="1" t="s">
        <v>98</v>
      </c>
    </row>
    <row r="130" ht="13.5"/>
    <row r="131" ht="13.5"/>
    <row r="132" spans="1:3" ht="13.5">
      <c r="A132" s="46"/>
      <c r="B132" s="46"/>
      <c r="C132" s="46"/>
    </row>
    <row r="133" ht="13.5">
      <c r="A133" s="1" t="s">
        <v>95</v>
      </c>
    </row>
    <row r="134" ht="13.5">
      <c r="A134" s="1" t="s">
        <v>99</v>
      </c>
    </row>
  </sheetData>
  <sheetProtection/>
  <mergeCells count="70"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117:G117"/>
    <mergeCell ref="A118:G118"/>
    <mergeCell ref="A74:C74"/>
    <mergeCell ref="A75:C75"/>
    <mergeCell ref="A68:C68"/>
    <mergeCell ref="A69:C69"/>
    <mergeCell ref="A70:C70"/>
    <mergeCell ref="A71:C71"/>
    <mergeCell ref="A72:C72"/>
    <mergeCell ref="A73:C73"/>
    <mergeCell ref="A44:C44"/>
    <mergeCell ref="A64:C64"/>
    <mergeCell ref="A65:C65"/>
    <mergeCell ref="A66:C66"/>
    <mergeCell ref="A67:C67"/>
    <mergeCell ref="A61:C61"/>
    <mergeCell ref="A50:C50"/>
    <mergeCell ref="A51:C51"/>
    <mergeCell ref="A58:C58"/>
    <mergeCell ref="A52:C52"/>
    <mergeCell ref="A41:C41"/>
    <mergeCell ref="A42:C42"/>
    <mergeCell ref="F7:G7"/>
    <mergeCell ref="B39:C39"/>
    <mergeCell ref="A43:C43"/>
    <mergeCell ref="A40:C40"/>
    <mergeCell ref="B1:F1"/>
    <mergeCell ref="A54:C54"/>
    <mergeCell ref="A55:C55"/>
    <mergeCell ref="A56:C56"/>
    <mergeCell ref="A57:C57"/>
    <mergeCell ref="B2:F2"/>
    <mergeCell ref="A3:G3"/>
    <mergeCell ref="A45:C45"/>
    <mergeCell ref="F6:G6"/>
    <mergeCell ref="A49:C49"/>
    <mergeCell ref="A116:G116"/>
    <mergeCell ref="A62:C62"/>
    <mergeCell ref="A107:G107"/>
    <mergeCell ref="A53:C53"/>
    <mergeCell ref="A46:C46"/>
    <mergeCell ref="A47:C47"/>
    <mergeCell ref="A48:C48"/>
    <mergeCell ref="A63:C63"/>
    <mergeCell ref="A59:C59"/>
    <mergeCell ref="A60:C60"/>
  </mergeCells>
  <conditionalFormatting sqref="B11 B25">
    <cfRule type="expression" priority="1" dxfId="10" stopIfTrue="1">
      <formula>G11=0</formula>
    </cfRule>
  </conditionalFormatting>
  <conditionalFormatting sqref="A41:C48">
    <cfRule type="expression" priority="2" dxfId="10" stopIfTrue="1">
      <formula>VALUE(NoDPSchedule)&lt;VALUE(LEFT(A41,1))</formula>
    </cfRule>
  </conditionalFormatting>
  <conditionalFormatting sqref="A49:C99">
    <cfRule type="expression" priority="3" dxfId="10" stopIfTrue="1">
      <formula>VALUE(NoDPSchedule)&lt;VALUE(LEFT(A49,2))</formula>
    </cfRule>
  </conditionalFormatting>
  <conditionalFormatting sqref="G11 G25">
    <cfRule type="expression" priority="4" dxfId="10" stopIfTrue="1">
      <formula>G11=0</formula>
    </cfRule>
  </conditionalFormatting>
  <conditionalFormatting sqref="D4">
    <cfRule type="expression" priority="5" dxfId="11" stopIfTrue="1">
      <formula>G5&lt;=TODAY()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8"/>
  <sheetViews>
    <sheetView zoomScalePageLayoutView="0" workbookViewId="0" topLeftCell="A4">
      <selection activeCell="A23" sqref="A23:IV35"/>
    </sheetView>
  </sheetViews>
  <sheetFormatPr defaultColWidth="12.375" defaultRowHeight="12.75" customHeight="1"/>
  <cols>
    <col min="1" max="1" width="12.375" style="1" customWidth="1"/>
    <col min="2" max="2" width="13.125" style="1" customWidth="1"/>
    <col min="3" max="3" width="17.625" style="1" customWidth="1"/>
    <col min="4" max="4" width="13.625" style="1" customWidth="1"/>
    <col min="5" max="5" width="14.75390625" style="1" customWidth="1"/>
    <col min="6" max="6" width="17.375" style="1" customWidth="1"/>
    <col min="7" max="7" width="18.375" style="1" customWidth="1"/>
    <col min="8" max="8" width="13.25390625" style="1" customWidth="1"/>
    <col min="9" max="16384" width="12.375" style="1" customWidth="1"/>
  </cols>
  <sheetData>
    <row r="2" spans="1:7" ht="14.25" customHeight="1">
      <c r="A2" s="2"/>
      <c r="B2" s="65" t="str">
        <f>'20%DP - 24MONS'!B1</f>
        <v>AVIDA LAND CORP.</v>
      </c>
      <c r="C2" s="65"/>
      <c r="D2" s="65"/>
      <c r="E2" s="65"/>
      <c r="F2" s="65"/>
      <c r="G2" s="3"/>
    </row>
    <row r="3" spans="1:7" ht="14.25" customHeight="1">
      <c r="A3" s="4"/>
      <c r="B3" s="66" t="str">
        <f>'20%DP - 24MONS'!B2</f>
        <v>CUSTOMER SERVICE UNIT</v>
      </c>
      <c r="C3" s="66"/>
      <c r="D3" s="66"/>
      <c r="E3" s="66"/>
      <c r="F3" s="66"/>
      <c r="G3" s="5"/>
    </row>
    <row r="4" spans="1:7" ht="30" customHeight="1">
      <c r="A4" s="67" t="str">
        <f>'20%DP - 24MONS'!A3</f>
        <v>AVIDA TOWERS ONE UNION PLACE</v>
      </c>
      <c r="B4" s="68"/>
      <c r="C4" s="68"/>
      <c r="D4" s="68"/>
      <c r="E4" s="68"/>
      <c r="F4" s="68"/>
      <c r="G4" s="69"/>
    </row>
    <row r="5" spans="1:7" ht="13.5" customHeight="1">
      <c r="A5" s="6"/>
      <c r="B5" s="7"/>
      <c r="C5" s="7"/>
      <c r="D5" s="8" t="str">
        <f>Mode</f>
        <v>TERM IS SUBJECT FOR APPROVAL</v>
      </c>
      <c r="E5" s="7"/>
      <c r="F5" s="7"/>
      <c r="G5" s="9"/>
    </row>
    <row r="6" ht="13.5" customHeight="1">
      <c r="G6" s="10">
        <v>24</v>
      </c>
    </row>
    <row r="7" spans="1:7" ht="13.5">
      <c r="A7" s="11" t="s">
        <v>3</v>
      </c>
      <c r="B7" s="11" t="s">
        <v>4</v>
      </c>
      <c r="C7" s="11" t="s">
        <v>5</v>
      </c>
      <c r="D7" s="11" t="s">
        <v>6</v>
      </c>
      <c r="E7" s="11"/>
      <c r="F7" s="70" t="s">
        <v>7</v>
      </c>
      <c r="G7" s="70"/>
    </row>
    <row r="8" spans="1:7" ht="13.5">
      <c r="A8" s="12" t="str">
        <f>Tower</f>
        <v>3</v>
      </c>
      <c r="B8" s="12" t="str">
        <f>Unit</f>
        <v>LB60</v>
      </c>
      <c r="C8" s="12" t="str">
        <f>Floor</f>
        <v>LOWER BASEMENT</v>
      </c>
      <c r="D8" s="12" t="str">
        <f>FloorArea</f>
        <v>12.50</v>
      </c>
      <c r="E8" s="12"/>
      <c r="F8" s="71" t="str">
        <f>'20%DP - 24MONS'!F7</f>
        <v>SINGLE PARKING</v>
      </c>
      <c r="G8" s="71"/>
    </row>
    <row r="11" spans="1:7" ht="13.5">
      <c r="A11" s="74" t="s">
        <v>100</v>
      </c>
      <c r="B11" s="75"/>
      <c r="C11" s="75"/>
      <c r="D11" s="75"/>
      <c r="E11" s="75"/>
      <c r="F11" s="75"/>
      <c r="G11" s="76"/>
    </row>
    <row r="12" spans="1:7" ht="13.5">
      <c r="A12" s="47"/>
      <c r="B12" s="48" t="s">
        <v>101</v>
      </c>
      <c r="C12" s="47"/>
      <c r="D12" s="47"/>
      <c r="E12" s="47"/>
      <c r="F12" s="47"/>
      <c r="G12" s="49">
        <f>('20%DP - 24MONS'!G24+'20%DP - 24MONS'!G25)-'20%DP - 24MONS'!G33</f>
        <v>1411200</v>
      </c>
    </row>
    <row r="13" spans="1:7" ht="13.5">
      <c r="A13" s="47"/>
      <c r="B13" s="50" t="s">
        <v>29</v>
      </c>
      <c r="C13" s="47"/>
      <c r="D13" s="47"/>
      <c r="E13" s="47"/>
      <c r="F13" s="47"/>
      <c r="G13" s="49">
        <f>'20%DP - 24MONS'!G29-'20%DP - 24MONS'!G34</f>
        <v>117600</v>
      </c>
    </row>
    <row r="14" spans="1:7" ht="13.5">
      <c r="A14" s="47"/>
      <c r="B14" s="47" t="s">
        <v>102</v>
      </c>
      <c r="C14" s="47"/>
      <c r="D14" s="47"/>
      <c r="E14" s="47"/>
      <c r="F14" s="41">
        <f>'20%DP - 24MONS'!F103</f>
        <v>46070</v>
      </c>
      <c r="G14" s="42">
        <f>SUM(G12:G13)</f>
        <v>1528800</v>
      </c>
    </row>
    <row r="15" ht="13.5">
      <c r="A15" s="26"/>
    </row>
    <row r="16" spans="1:8" s="26" customFormat="1" ht="12.75">
      <c r="A16" s="51" t="s">
        <v>103</v>
      </c>
      <c r="B16" s="51" t="s">
        <v>104</v>
      </c>
      <c r="C16" s="51" t="s">
        <v>105</v>
      </c>
      <c r="D16" s="51" t="s">
        <v>106</v>
      </c>
      <c r="E16" s="51" t="s">
        <v>107</v>
      </c>
      <c r="F16" s="51" t="s">
        <v>40</v>
      </c>
      <c r="G16" s="51" t="s">
        <v>108</v>
      </c>
      <c r="H16" s="23"/>
    </row>
    <row r="17" spans="1:8" ht="13.5">
      <c r="A17" s="52" t="s">
        <v>109</v>
      </c>
      <c r="B17" s="53">
        <v>0.065</v>
      </c>
      <c r="C17" s="54">
        <f>-ROUND(PMT(B17/12,60,1),7)</f>
        <v>0.0195661</v>
      </c>
      <c r="D17" s="55">
        <f>DATE(YEAR(F14),MONTH(F14)+1,DAY(F14))</f>
        <v>46098</v>
      </c>
      <c r="E17" s="55">
        <f>DATE(YEAR(F14)+5,MONTH(F14),DAY(F14))</f>
        <v>47896</v>
      </c>
      <c r="F17" s="56">
        <f>ROUND($G$14*C17,2)</f>
        <v>29912.65</v>
      </c>
      <c r="G17" s="57">
        <f>F17/40%</f>
        <v>74781.625</v>
      </c>
      <c r="H17" s="58"/>
    </row>
    <row r="18" spans="1:7" ht="13.5">
      <c r="A18" s="52" t="s">
        <v>110</v>
      </c>
      <c r="B18" s="53">
        <v>0.085</v>
      </c>
      <c r="C18" s="54">
        <f>-ROUND(PMT(B18/12,120,1),7)</f>
        <v>0.0123986</v>
      </c>
      <c r="D18" s="55">
        <f>D17</f>
        <v>46098</v>
      </c>
      <c r="E18" s="55">
        <f>DATE(YEAR($F$14)+10,MONTH($F$14),DAY($F$14))</f>
        <v>49722</v>
      </c>
      <c r="F18" s="56">
        <f>ROUND($G$14*C18,2)</f>
        <v>18954.98</v>
      </c>
      <c r="G18" s="57">
        <f>F18/40%</f>
        <v>47387.45</v>
      </c>
    </row>
    <row r="19" spans="1:7" ht="13.5">
      <c r="A19" s="52" t="s">
        <v>111</v>
      </c>
      <c r="B19" s="53">
        <v>0.0925</v>
      </c>
      <c r="C19" s="54">
        <f>-ROUND(PMT(B19/12,180,1),7)</f>
        <v>0.0102919</v>
      </c>
      <c r="D19" s="55">
        <f>D18</f>
        <v>46098</v>
      </c>
      <c r="E19" s="55">
        <f>DATE(YEAR($F$14)+15,MONTH($F$14),DAY($F$14))</f>
        <v>51549</v>
      </c>
      <c r="F19" s="56">
        <f>ROUND($G$14*C19,2)</f>
        <v>15734.26</v>
      </c>
      <c r="G19" s="57">
        <f>F19/40%</f>
        <v>39335.65</v>
      </c>
    </row>
    <row r="20" spans="1:7" ht="13.5">
      <c r="A20" s="52" t="s">
        <v>112</v>
      </c>
      <c r="B20" s="53">
        <v>0.0975</v>
      </c>
      <c r="C20" s="54">
        <f>-ROUND(PMT(B20/12,240,1),7)</f>
        <v>0.0094852</v>
      </c>
      <c r="D20" s="55">
        <f>D19</f>
        <v>46098</v>
      </c>
      <c r="E20" s="55">
        <f>DATE(YEAR($F$14)+20,MONTH($F$14),DAY($F$14))</f>
        <v>53375</v>
      </c>
      <c r="F20" s="56">
        <f>ROUND($G$14*C20,2)</f>
        <v>14500.97</v>
      </c>
      <c r="G20" s="57">
        <f>F20/40%</f>
        <v>36252.424999999996</v>
      </c>
    </row>
    <row r="21" spans="1:7" ht="13.5">
      <c r="A21" s="52" t="s">
        <v>113</v>
      </c>
      <c r="B21" s="53">
        <v>0.0975</v>
      </c>
      <c r="C21" s="54">
        <f>-ROUND(PMT(B21/12,300,1),7)</f>
        <v>0.0089114</v>
      </c>
      <c r="D21" s="55">
        <f>D20</f>
        <v>46098</v>
      </c>
      <c r="E21" s="55">
        <f>DATE(YEAR($F$14)+25,MONTH($F$14),DAY($F$14))</f>
        <v>55201</v>
      </c>
      <c r="F21" s="56">
        <f>ROUND($G$14*C21,2)</f>
        <v>13623.75</v>
      </c>
      <c r="G21" s="57">
        <f>F21/40%</f>
        <v>34059.375</v>
      </c>
    </row>
    <row r="22" spans="2:7" ht="13.5">
      <c r="B22" s="50"/>
      <c r="G22" s="23"/>
    </row>
    <row r="23" spans="1:7" ht="13.5">
      <c r="A23" s="26"/>
      <c r="B23" s="60"/>
      <c r="D23" s="59"/>
      <c r="E23" s="41"/>
      <c r="F23" s="41"/>
      <c r="G23" s="23"/>
    </row>
    <row r="24" spans="1:4" ht="13.5">
      <c r="A24" s="43" t="s">
        <v>82</v>
      </c>
      <c r="B24" s="44"/>
      <c r="C24" s="44"/>
      <c r="D24" s="44"/>
    </row>
    <row r="25" spans="1:7" ht="13.5">
      <c r="A25" s="63" t="str">
        <f>'20%DP - 24MONS'!A107</f>
        <v>1.   In the event of an increase in Other Charges, ALI has the right to charge the</v>
      </c>
      <c r="B25" s="63"/>
      <c r="C25" s="63"/>
      <c r="D25" s="63"/>
      <c r="E25" s="63"/>
      <c r="F25" s="63"/>
      <c r="G25" s="63"/>
    </row>
    <row r="26" spans="1:4" ht="13.5">
      <c r="A26" s="44" t="str">
        <f>'20%DP - 24MONS'!A108</f>
        <v>      Purchaser as mandated in the CTS &amp; DAS.</v>
      </c>
      <c r="B26" s="44"/>
      <c r="C26" s="44"/>
      <c r="D26" s="44"/>
    </row>
    <row r="27" spans="1:10" ht="13.5">
      <c r="A27" s="44" t="str">
        <f>'20%DP - 24MONS'!A109</f>
        <v>2.   Discounts are conditioned upon the Buyer’s  timely compliance with all his obligations, including </v>
      </c>
      <c r="B27" s="44"/>
      <c r="C27" s="44"/>
      <c r="D27" s="44"/>
      <c r="J27" s="41"/>
    </row>
    <row r="28" spans="1:10" ht="13.5">
      <c r="A28" s="44" t="str">
        <f>'20%DP - 24MONS'!A110</f>
        <v>      payments and transmittal of required documents.</v>
      </c>
      <c r="B28" s="44"/>
      <c r="C28" s="44"/>
      <c r="D28" s="44"/>
      <c r="J28" s="41"/>
    </row>
    <row r="29" spans="1:10" ht="13.5">
      <c r="A29" s="45" t="str">
        <f>'20%DP - 24MONS'!A111</f>
        <v>3.   Delay in any payment is an event of default entitling the Seller to exercise remedial options, which include collection of </v>
      </c>
      <c r="B29" s="44"/>
      <c r="C29" s="44"/>
      <c r="D29" s="44"/>
      <c r="J29" s="41"/>
    </row>
    <row r="30" spans="1:10" ht="13.5">
      <c r="A30" s="45" t="str">
        <f>'20%DP - 24MONS'!A112</f>
        <v>      penalty  at the rate of two percent (2%) of the unpaid amount for every month (or a fraction thereof) of delay as </v>
      </c>
      <c r="B30" s="44"/>
      <c r="C30" s="44"/>
      <c r="D30" s="44"/>
      <c r="J30" s="41"/>
    </row>
    <row r="31" spans="1:10" ht="13.5">
      <c r="A31" s="45" t="str">
        <f>'20%DP - 24MONS'!A113</f>
        <v>      specified under Sec 4(ii) of the RA and Sec 4.2 of the CTS</v>
      </c>
      <c r="B31" s="44"/>
      <c r="C31" s="44"/>
      <c r="D31" s="44"/>
      <c r="J31" s="41"/>
    </row>
    <row r="32" spans="1:10" ht="13.5">
      <c r="A32" s="45" t="str">
        <f>'20%DP - 24MONS'!A114</f>
        <v>4.   For Bank Financing Program, Buyer is required to issue a guarantee check covering the lump-sum payment.  Upon</v>
      </c>
      <c r="B32" s="44"/>
      <c r="C32" s="44"/>
      <c r="D32" s="44"/>
      <c r="J32" s="41"/>
    </row>
    <row r="33" spans="1:10" ht="13.5">
      <c r="A33" s="45" t="str">
        <f>'20%DP - 24MONS'!A115</f>
        <v>      Seller’s receipt of the bank guarantee, the relevant guarantee check(s) covered thereby shall be returned to the Buyer.</v>
      </c>
      <c r="B33" s="44"/>
      <c r="C33" s="44"/>
      <c r="D33" s="44"/>
      <c r="J33" s="41"/>
    </row>
    <row r="34" spans="1:10" ht="13.5">
      <c r="A34" s="63" t="str">
        <f>'20%DP - 24MONS'!A116</f>
        <v>5.   All payments covering the due dates and amounts above should be made payable to ALI.</v>
      </c>
      <c r="B34" s="63"/>
      <c r="C34" s="63"/>
      <c r="D34" s="63"/>
      <c r="E34" s="63"/>
      <c r="F34" s="63"/>
      <c r="G34" s="63"/>
      <c r="J34" s="41"/>
    </row>
    <row r="35" spans="1:10" ht="13.5">
      <c r="A35" s="63"/>
      <c r="B35" s="63"/>
      <c r="C35" s="63"/>
      <c r="D35" s="63"/>
      <c r="E35" s="63"/>
      <c r="F35" s="63"/>
      <c r="G35" s="63"/>
      <c r="J35" s="41"/>
    </row>
    <row r="36" spans="1:10" ht="13.5">
      <c r="A36" s="73"/>
      <c r="B36" s="73"/>
      <c r="C36" s="73"/>
      <c r="D36" s="73"/>
      <c r="E36" s="73"/>
      <c r="F36" s="73"/>
      <c r="G36" s="73"/>
      <c r="J36" s="41"/>
    </row>
    <row r="37" ht="13.5">
      <c r="J37" s="41"/>
    </row>
    <row r="38" ht="13.5">
      <c r="J38" s="41"/>
    </row>
    <row r="39" spans="1:10" ht="13.5">
      <c r="A39" s="1" t="s">
        <v>93</v>
      </c>
      <c r="E39" s="1" t="s">
        <v>94</v>
      </c>
      <c r="J39" s="41"/>
    </row>
    <row r="40" ht="13.5">
      <c r="J40" s="41"/>
    </row>
    <row r="41" ht="13.5">
      <c r="J41" s="41"/>
    </row>
    <row r="42" spans="1:10" ht="13.5">
      <c r="A42" s="46"/>
      <c r="B42" s="46"/>
      <c r="C42" s="46"/>
      <c r="E42" s="46"/>
      <c r="F42" s="46"/>
      <c r="G42" s="46"/>
      <c r="J42" s="41"/>
    </row>
    <row r="43" spans="1:10" ht="13.5">
      <c r="A43" s="1" t="s">
        <v>95</v>
      </c>
      <c r="E43" s="1" t="s">
        <v>95</v>
      </c>
      <c r="J43" s="41"/>
    </row>
    <row r="44" spans="1:10" ht="13.5">
      <c r="A44" s="1" t="s">
        <v>96</v>
      </c>
      <c r="E44" s="1" t="s">
        <v>97</v>
      </c>
      <c r="J44" s="41"/>
    </row>
    <row r="45" ht="13.5">
      <c r="J45" s="41"/>
    </row>
    <row r="46" ht="13.5">
      <c r="J46" s="41"/>
    </row>
    <row r="47" spans="1:10" ht="13.5">
      <c r="A47" s="1" t="s">
        <v>98</v>
      </c>
      <c r="J47" s="41"/>
    </row>
    <row r="48" ht="13.5">
      <c r="J48" s="41"/>
    </row>
    <row r="49" ht="13.5">
      <c r="J49" s="41"/>
    </row>
    <row r="50" spans="1:10" ht="12.75">
      <c r="A50" s="46"/>
      <c r="B50" s="46"/>
      <c r="C50" s="46"/>
      <c r="J50" s="41"/>
    </row>
    <row r="51" spans="1:10" ht="13.5">
      <c r="A51" s="1" t="s">
        <v>95</v>
      </c>
      <c r="J51" s="41"/>
    </row>
    <row r="52" spans="1:10" ht="13.5">
      <c r="A52" s="1" t="s">
        <v>99</v>
      </c>
      <c r="J52" s="41"/>
    </row>
    <row r="53" ht="13.5">
      <c r="J53" s="41"/>
    </row>
    <row r="54" ht="13.5">
      <c r="J54" s="41"/>
    </row>
    <row r="55" ht="13.5">
      <c r="J55" s="41"/>
    </row>
    <row r="56" ht="13.5">
      <c r="J56" s="41"/>
    </row>
    <row r="57" ht="13.5">
      <c r="J57" s="41"/>
    </row>
    <row r="58" ht="13.5">
      <c r="J58" s="41"/>
    </row>
    <row r="59" ht="13.5">
      <c r="J59" s="41"/>
    </row>
    <row r="60" ht="13.5">
      <c r="J60" s="41"/>
    </row>
    <row r="61" ht="13.5">
      <c r="J61" s="41"/>
    </row>
    <row r="62" ht="13.5">
      <c r="J62" s="41"/>
    </row>
    <row r="63" ht="13.5">
      <c r="J63" s="41"/>
    </row>
    <row r="64" ht="13.5">
      <c r="J64" s="41"/>
    </row>
    <row r="65" ht="13.5">
      <c r="J65" s="41"/>
    </row>
    <row r="66" ht="13.5">
      <c r="J66" s="41"/>
    </row>
    <row r="67" ht="13.5">
      <c r="J67" s="41"/>
    </row>
    <row r="68" ht="13.5">
      <c r="J68" s="41"/>
    </row>
    <row r="69" ht="13.5">
      <c r="J69" s="41"/>
    </row>
    <row r="70" ht="13.5">
      <c r="J70" s="41"/>
    </row>
    <row r="71" ht="13.5">
      <c r="J71" s="41"/>
    </row>
    <row r="72" ht="13.5">
      <c r="J72" s="41"/>
    </row>
    <row r="73" ht="13.5">
      <c r="J73" s="41"/>
    </row>
    <row r="74" ht="13.5">
      <c r="J74" s="41"/>
    </row>
    <row r="75" ht="13.5">
      <c r="J75" s="41"/>
    </row>
    <row r="76" ht="13.5">
      <c r="J76" s="41"/>
    </row>
    <row r="77" ht="13.5">
      <c r="J77" s="41"/>
    </row>
    <row r="78" ht="13.5">
      <c r="J78" s="41"/>
    </row>
    <row r="79" ht="13.5">
      <c r="J79" s="41"/>
    </row>
    <row r="80" ht="13.5">
      <c r="J80" s="41"/>
    </row>
    <row r="81" ht="13.5">
      <c r="J81" s="41"/>
    </row>
    <row r="82" ht="13.5">
      <c r="J82" s="41"/>
    </row>
    <row r="83" ht="13.5">
      <c r="J83" s="41"/>
    </row>
    <row r="84" ht="13.5">
      <c r="J84" s="41"/>
    </row>
    <row r="85" ht="13.5">
      <c r="J85" s="41"/>
    </row>
    <row r="86" ht="13.5">
      <c r="J86" s="41"/>
    </row>
    <row r="87" ht="13.5">
      <c r="J87" s="41"/>
    </row>
    <row r="88" spans="9:10" ht="13.5">
      <c r="I88" s="61"/>
      <c r="J88" s="41"/>
    </row>
    <row r="89" ht="13.5">
      <c r="J89" s="41"/>
    </row>
    <row r="90" ht="13.5">
      <c r="J90" s="41"/>
    </row>
    <row r="91" ht="13.5">
      <c r="J91" s="41"/>
    </row>
    <row r="92" ht="13.5">
      <c r="J92" s="41"/>
    </row>
    <row r="93" ht="13.5">
      <c r="J93" s="41"/>
    </row>
    <row r="94" ht="13.5">
      <c r="J94" s="41"/>
    </row>
    <row r="95" ht="13.5">
      <c r="J95" s="41"/>
    </row>
    <row r="96" ht="13.5">
      <c r="J96" s="41"/>
    </row>
    <row r="97" ht="13.5">
      <c r="J97" s="41"/>
    </row>
    <row r="98" ht="13.5">
      <c r="J98" s="41"/>
    </row>
    <row r="99" ht="13.5">
      <c r="J99" s="41"/>
    </row>
    <row r="100" ht="13.5">
      <c r="J100" s="41"/>
    </row>
    <row r="101" ht="13.5">
      <c r="J101" s="41"/>
    </row>
    <row r="102" ht="13.5">
      <c r="J102" s="41"/>
    </row>
    <row r="103" ht="13.5">
      <c r="J103" s="41"/>
    </row>
    <row r="104" ht="13.5">
      <c r="J104" s="41"/>
    </row>
    <row r="105" ht="13.5">
      <c r="J105" s="41"/>
    </row>
    <row r="106" ht="13.5">
      <c r="J106" s="41"/>
    </row>
    <row r="107" ht="13.5">
      <c r="J107" s="41"/>
    </row>
    <row r="108" ht="13.5">
      <c r="J108" s="41"/>
    </row>
    <row r="109" ht="13.5">
      <c r="J109" s="41"/>
    </row>
    <row r="110" ht="13.5">
      <c r="J110" s="41"/>
    </row>
    <row r="111" ht="13.5">
      <c r="J111" s="41"/>
    </row>
    <row r="112" spans="9:10" ht="13.5">
      <c r="I112" s="61"/>
      <c r="J112" s="41"/>
    </row>
    <row r="113" ht="13.5">
      <c r="J113" s="41"/>
    </row>
    <row r="114" ht="13.5">
      <c r="J114" s="41"/>
    </row>
    <row r="115" ht="13.5">
      <c r="J115" s="41"/>
    </row>
    <row r="116" ht="13.5">
      <c r="J116" s="41"/>
    </row>
    <row r="117" ht="13.5">
      <c r="J117" s="41"/>
    </row>
    <row r="118" ht="13.5">
      <c r="J118" s="41"/>
    </row>
    <row r="119" ht="13.5">
      <c r="J119" s="41"/>
    </row>
    <row r="120" ht="13.5">
      <c r="J120" s="41"/>
    </row>
    <row r="121" ht="13.5">
      <c r="J121" s="41"/>
    </row>
    <row r="122" ht="13.5">
      <c r="J122" s="41"/>
    </row>
    <row r="123" ht="13.5">
      <c r="J123" s="41"/>
    </row>
    <row r="124" ht="13.5">
      <c r="J124" s="41"/>
    </row>
    <row r="125" ht="13.5">
      <c r="J125" s="41"/>
    </row>
    <row r="126" ht="13.5">
      <c r="J126" s="41"/>
    </row>
    <row r="127" ht="13.5">
      <c r="J127" s="41"/>
    </row>
    <row r="128" ht="13.5">
      <c r="J128" s="41"/>
    </row>
    <row r="129" ht="13.5">
      <c r="J129" s="41"/>
    </row>
    <row r="130" ht="13.5">
      <c r="J130" s="41"/>
    </row>
    <row r="131" ht="13.5">
      <c r="J131" s="41"/>
    </row>
    <row r="132" ht="13.5">
      <c r="J132" s="41"/>
    </row>
    <row r="133" ht="13.5">
      <c r="J133" s="41"/>
    </row>
    <row r="134" ht="13.5">
      <c r="J134" s="41"/>
    </row>
    <row r="135" ht="13.5">
      <c r="J135" s="41"/>
    </row>
    <row r="136" ht="13.5">
      <c r="J136" s="41"/>
    </row>
    <row r="137" ht="13.5">
      <c r="J137" s="41"/>
    </row>
    <row r="138" ht="13.5">
      <c r="J138" s="41"/>
    </row>
    <row r="139" ht="13.5">
      <c r="J139" s="41"/>
    </row>
    <row r="140" ht="13.5">
      <c r="J140" s="41"/>
    </row>
    <row r="141" ht="13.5">
      <c r="J141" s="41"/>
    </row>
    <row r="142" ht="13.5">
      <c r="J142" s="41"/>
    </row>
    <row r="143" ht="13.5">
      <c r="J143" s="41"/>
    </row>
    <row r="144" ht="13.5">
      <c r="J144" s="41"/>
    </row>
    <row r="145" ht="13.5">
      <c r="J145" s="41"/>
    </row>
    <row r="146" ht="13.5">
      <c r="J146" s="41"/>
    </row>
    <row r="147" ht="13.5">
      <c r="J147" s="41"/>
    </row>
    <row r="148" spans="9:10" ht="13.5">
      <c r="I148" s="61"/>
      <c r="J148" s="41"/>
    </row>
    <row r="149" ht="13.5">
      <c r="J149" s="41"/>
    </row>
    <row r="150" ht="13.5">
      <c r="J150" s="41"/>
    </row>
    <row r="151" ht="13.5">
      <c r="J151" s="41"/>
    </row>
    <row r="152" ht="13.5">
      <c r="J152" s="41"/>
    </row>
    <row r="153" ht="13.5">
      <c r="J153" s="41"/>
    </row>
    <row r="154" ht="13.5">
      <c r="J154" s="41"/>
    </row>
    <row r="155" ht="13.5">
      <c r="J155" s="41"/>
    </row>
    <row r="156" ht="13.5">
      <c r="J156" s="41"/>
    </row>
    <row r="157" ht="13.5">
      <c r="J157" s="41"/>
    </row>
    <row r="158" ht="13.5">
      <c r="J158" s="41"/>
    </row>
    <row r="159" ht="13.5">
      <c r="J159" s="41"/>
    </row>
    <row r="160" ht="13.5">
      <c r="J160" s="41"/>
    </row>
    <row r="161" ht="13.5">
      <c r="J161" s="41"/>
    </row>
    <row r="162" ht="13.5">
      <c r="J162" s="41"/>
    </row>
    <row r="163" ht="13.5">
      <c r="J163" s="41"/>
    </row>
    <row r="164" ht="13.5">
      <c r="J164" s="41"/>
    </row>
    <row r="165" ht="13.5">
      <c r="J165" s="41"/>
    </row>
    <row r="166" ht="13.5">
      <c r="J166" s="41"/>
    </row>
    <row r="167" ht="13.5">
      <c r="J167" s="41"/>
    </row>
    <row r="168" ht="13.5">
      <c r="J168" s="41"/>
    </row>
    <row r="169" ht="13.5">
      <c r="J169" s="41"/>
    </row>
    <row r="170" ht="13.5">
      <c r="J170" s="41"/>
    </row>
    <row r="171" ht="13.5">
      <c r="J171" s="41"/>
    </row>
    <row r="172" ht="13.5">
      <c r="J172" s="41"/>
    </row>
    <row r="173" ht="13.5">
      <c r="J173" s="41"/>
    </row>
    <row r="174" ht="13.5">
      <c r="J174" s="41"/>
    </row>
    <row r="175" ht="13.5">
      <c r="J175" s="41"/>
    </row>
    <row r="176" ht="13.5">
      <c r="J176" s="41"/>
    </row>
    <row r="177" ht="13.5">
      <c r="J177" s="41"/>
    </row>
    <row r="178" ht="13.5">
      <c r="J178" s="41"/>
    </row>
    <row r="179" ht="13.5">
      <c r="J179" s="41"/>
    </row>
    <row r="180" ht="13.5">
      <c r="J180" s="41"/>
    </row>
    <row r="181" ht="13.5">
      <c r="J181" s="41"/>
    </row>
    <row r="182" ht="13.5">
      <c r="J182" s="41"/>
    </row>
    <row r="183" ht="13.5">
      <c r="J183" s="41"/>
    </row>
    <row r="184" ht="13.5">
      <c r="J184" s="41"/>
    </row>
    <row r="185" ht="13.5">
      <c r="J185" s="41"/>
    </row>
    <row r="186" ht="13.5">
      <c r="J186" s="41"/>
    </row>
    <row r="187" ht="13.5">
      <c r="J187" s="41"/>
    </row>
    <row r="188" ht="13.5">
      <c r="J188" s="41"/>
    </row>
    <row r="189" ht="13.5">
      <c r="J189" s="41"/>
    </row>
    <row r="190" ht="13.5">
      <c r="J190" s="41"/>
    </row>
    <row r="191" ht="13.5">
      <c r="J191" s="41"/>
    </row>
    <row r="192" ht="13.5">
      <c r="J192" s="41"/>
    </row>
    <row r="193" ht="13.5">
      <c r="J193" s="41"/>
    </row>
    <row r="194" ht="13.5">
      <c r="J194" s="41"/>
    </row>
    <row r="195" ht="13.5">
      <c r="J195" s="41"/>
    </row>
    <row r="196" ht="13.5">
      <c r="J196" s="41"/>
    </row>
    <row r="197" ht="13.5">
      <c r="J197" s="41"/>
    </row>
    <row r="198" ht="13.5">
      <c r="J198" s="41"/>
    </row>
    <row r="199" ht="13.5">
      <c r="J199" s="41"/>
    </row>
    <row r="200" ht="13.5">
      <c r="J200" s="41"/>
    </row>
    <row r="201" ht="13.5">
      <c r="J201" s="41"/>
    </row>
    <row r="202" ht="13.5">
      <c r="J202" s="41"/>
    </row>
    <row r="203" ht="13.5">
      <c r="J203" s="41"/>
    </row>
    <row r="204" ht="13.5">
      <c r="J204" s="41"/>
    </row>
    <row r="205" ht="13.5">
      <c r="J205" s="41"/>
    </row>
    <row r="206" ht="13.5">
      <c r="J206" s="41"/>
    </row>
    <row r="207" ht="13.5">
      <c r="J207" s="41"/>
    </row>
    <row r="208" ht="13.5">
      <c r="J208" s="41"/>
    </row>
  </sheetData>
  <sheetProtection/>
  <mergeCells count="10">
    <mergeCell ref="A35:G35"/>
    <mergeCell ref="A36:G36"/>
    <mergeCell ref="B2:F2"/>
    <mergeCell ref="B3:F3"/>
    <mergeCell ref="A4:G4"/>
    <mergeCell ref="F7:G7"/>
    <mergeCell ref="F8:G8"/>
    <mergeCell ref="A11:G11"/>
    <mergeCell ref="A25:G25"/>
    <mergeCell ref="A34:G34"/>
  </mergeCells>
  <printOptions horizont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3" sqref="A3:G3"/>
    </sheetView>
  </sheetViews>
  <sheetFormatPr defaultColWidth="12.375" defaultRowHeight="12.75" customHeight="1"/>
  <cols>
    <col min="1" max="4" width="12.375" style="1" customWidth="1"/>
    <col min="5" max="6" width="14.625" style="1" customWidth="1"/>
    <col min="7" max="7" width="16.625" style="1" customWidth="1"/>
    <col min="8" max="9" width="15.00390625" style="1" customWidth="1"/>
    <col min="10" max="10" width="14.125" style="1" customWidth="1"/>
    <col min="11" max="16384" width="12.375" style="1" customWidth="1"/>
  </cols>
  <sheetData>
    <row r="1" spans="1:7" ht="14.25" customHeight="1">
      <c r="A1" s="2"/>
      <c r="B1" s="65" t="s">
        <v>0</v>
      </c>
      <c r="C1" s="65"/>
      <c r="D1" s="65"/>
      <c r="E1" s="65"/>
      <c r="F1" s="65"/>
      <c r="G1" s="62" t="s">
        <v>114</v>
      </c>
    </row>
    <row r="2" spans="1:7" ht="14.25" customHeight="1">
      <c r="A2" s="4"/>
      <c r="B2" s="66" t="s">
        <v>1</v>
      </c>
      <c r="C2" s="66"/>
      <c r="D2" s="66"/>
      <c r="E2" s="66"/>
      <c r="F2" s="66"/>
      <c r="G2" s="5"/>
    </row>
    <row r="3" spans="1:7" ht="30" customHeight="1">
      <c r="A3" s="67" t="s">
        <v>2</v>
      </c>
      <c r="B3" s="68"/>
      <c r="C3" s="68"/>
      <c r="D3" s="68"/>
      <c r="E3" s="68"/>
      <c r="F3" s="68"/>
      <c r="G3" s="69"/>
    </row>
    <row r="4" spans="1:7" ht="13.5" customHeight="1">
      <c r="A4" s="6">
        <f>IF(A39&lt;=12,12,A39)</f>
        <v>24</v>
      </c>
      <c r="B4" s="7"/>
      <c r="C4" s="7"/>
      <c r="D4" s="8" t="str">
        <f>IF(A39&gt;G5,"TERM IS SUBJECT FOR APPROVAL","SAMPLE COMPUTATION ONLY")</f>
        <v>SAMPLE COMPUTATION ONLY</v>
      </c>
      <c r="E4" s="7"/>
      <c r="F4" s="7"/>
      <c r="G4" s="9"/>
    </row>
    <row r="5" s="1" customFormat="1" ht="13.5" customHeight="1">
      <c r="G5" s="10">
        <v>24</v>
      </c>
    </row>
    <row r="6" spans="1:7" ht="13.5">
      <c r="A6" s="11" t="s">
        <v>3</v>
      </c>
      <c r="B6" s="11" t="s">
        <v>4</v>
      </c>
      <c r="C6" s="11" t="s">
        <v>5</v>
      </c>
      <c r="D6" s="11" t="s">
        <v>6</v>
      </c>
      <c r="E6" s="11"/>
      <c r="F6" s="70" t="s">
        <v>7</v>
      </c>
      <c r="G6" s="70"/>
    </row>
    <row r="7" spans="1:7" ht="13.5">
      <c r="A7" s="12" t="s">
        <v>8</v>
      </c>
      <c r="B7" s="12" t="s">
        <v>9</v>
      </c>
      <c r="C7" s="12" t="s">
        <v>10</v>
      </c>
      <c r="D7" s="12" t="s">
        <v>11</v>
      </c>
      <c r="E7" s="12"/>
      <c r="F7" s="71" t="s">
        <v>12</v>
      </c>
      <c r="G7" s="71"/>
    </row>
    <row r="9" ht="13.5" hidden="1"/>
    <row r="10" spans="1:7" ht="13.5" hidden="1">
      <c r="A10" s="13" t="s">
        <v>13</v>
      </c>
      <c r="B10" s="13"/>
      <c r="C10" s="14"/>
      <c r="D10" s="15"/>
      <c r="E10" s="15"/>
      <c r="F10" s="16" t="s">
        <v>14</v>
      </c>
      <c r="G10" s="17">
        <v>1764000</v>
      </c>
    </row>
    <row r="11" spans="1:7" ht="13.5" hidden="1">
      <c r="A11" s="1" t="s">
        <v>15</v>
      </c>
      <c r="B11" s="1" t="s">
        <v>16</v>
      </c>
      <c r="C11" s="18"/>
      <c r="F11" s="19"/>
      <c r="G11" s="20">
        <f>ROUND(IF(ISERROR(FIND("PARKING",Model,1)),IF(SellingPrice&gt;2000000,(G10-(G10/1.12)),0),(G10-(G10/1.12))),2)</f>
        <v>189000</v>
      </c>
    </row>
    <row r="12" spans="1:10" ht="13.5" hidden="1">
      <c r="A12" s="21">
        <v>0</v>
      </c>
      <c r="B12" s="1" t="str">
        <f>CONCATENATE(A12,"% Discount on ",A33,"% SFDP")</f>
        <v>0% Discount on 20% SFDP</v>
      </c>
      <c r="F12" s="19"/>
      <c r="G12" s="22">
        <v>0</v>
      </c>
      <c r="I12" s="22"/>
      <c r="J12" s="22"/>
    </row>
    <row r="13" spans="2:10" ht="13.5" hidden="1">
      <c r="B13" s="1" t="s">
        <v>17</v>
      </c>
      <c r="G13" s="22">
        <v>0</v>
      </c>
      <c r="I13" s="22"/>
      <c r="J13" s="22"/>
    </row>
    <row r="14" spans="2:10" ht="13.5" hidden="1">
      <c r="B14" s="1" t="s">
        <v>18</v>
      </c>
      <c r="G14" s="22">
        <v>0</v>
      </c>
      <c r="I14" s="22"/>
      <c r="J14" s="22"/>
    </row>
    <row r="15" spans="2:9" ht="13.5" hidden="1">
      <c r="B15" s="1" t="s">
        <v>19</v>
      </c>
      <c r="G15" s="22">
        <v>0</v>
      </c>
      <c r="I15" s="22"/>
    </row>
    <row r="16" spans="2:9" ht="13.5" hidden="1">
      <c r="B16" s="1" t="s">
        <v>20</v>
      </c>
      <c r="G16" s="22">
        <v>0</v>
      </c>
      <c r="I16" s="22"/>
    </row>
    <row r="17" spans="2:9" ht="13.5" hidden="1">
      <c r="B17" s="1" t="s">
        <v>21</v>
      </c>
      <c r="G17" s="22">
        <v>0</v>
      </c>
      <c r="I17" s="22"/>
    </row>
    <row r="18" spans="2:10" ht="13.5" hidden="1">
      <c r="B18" s="1" t="s">
        <v>22</v>
      </c>
      <c r="G18" s="22">
        <v>0</v>
      </c>
      <c r="H18" s="22"/>
      <c r="I18" s="22"/>
      <c r="J18" s="22"/>
    </row>
    <row r="19" spans="2:10" ht="13.5" hidden="1">
      <c r="B19" s="1" t="s">
        <v>23</v>
      </c>
      <c r="G19" s="22">
        <v>0</v>
      </c>
      <c r="J19" s="22"/>
    </row>
    <row r="20" spans="2:10" ht="13.5" hidden="1">
      <c r="B20" s="1" t="s">
        <v>24</v>
      </c>
      <c r="G20" s="22">
        <v>0</v>
      </c>
      <c r="J20" s="22"/>
    </row>
    <row r="21" spans="2:10" ht="13.5" hidden="1">
      <c r="B21" s="1" t="s">
        <v>25</v>
      </c>
      <c r="G21" s="22">
        <v>0</v>
      </c>
      <c r="J21" s="22"/>
    </row>
    <row r="22" spans="2:10" ht="13.5" hidden="1">
      <c r="B22" s="1" t="s">
        <v>26</v>
      </c>
      <c r="G22" s="22">
        <v>0</v>
      </c>
      <c r="J22" s="22"/>
    </row>
    <row r="23" spans="6:10" ht="13.5" customHeight="1" hidden="1">
      <c r="F23" s="19"/>
      <c r="G23" s="23"/>
      <c r="J23" s="22"/>
    </row>
    <row r="24" spans="1:7" ht="13.5" customHeight="1">
      <c r="A24" s="13" t="s">
        <v>27</v>
      </c>
      <c r="B24" s="24"/>
      <c r="C24" s="15"/>
      <c r="D24" s="15"/>
      <c r="E24" s="15"/>
      <c r="F24" s="16" t="s">
        <v>14</v>
      </c>
      <c r="G24" s="25">
        <f>(SellingPrice-G11)-SUM(G12:G22)</f>
        <v>1575000</v>
      </c>
    </row>
    <row r="25" spans="1:9" ht="13.5">
      <c r="A25" s="1" t="s">
        <v>28</v>
      </c>
      <c r="B25" s="1" t="s">
        <v>16</v>
      </c>
      <c r="G25" s="22">
        <f>ROUND(IF(ISERROR(FIND("PARKING",Model,1)),IF(G24&gt;2000000,G24*12%,0),G24*12%),2)</f>
        <v>189000</v>
      </c>
      <c r="I25" s="22"/>
    </row>
    <row r="26" spans="1:7" ht="13.5" hidden="1">
      <c r="A26" s="21">
        <v>7</v>
      </c>
      <c r="B26" s="1" t="s">
        <v>29</v>
      </c>
      <c r="G26" s="22">
        <f>ROUND(G24*(A26/100),2)</f>
        <v>110250</v>
      </c>
    </row>
    <row r="27" spans="1:7" ht="13.5" hidden="1">
      <c r="A27" s="21"/>
      <c r="B27" s="1" t="s">
        <v>30</v>
      </c>
      <c r="F27" s="21">
        <f>IF(G27&gt;50000,50000,G27)</f>
        <v>0</v>
      </c>
      <c r="G27" s="22">
        <v>0</v>
      </c>
    </row>
    <row r="28" spans="1:7" ht="13.5" hidden="1">
      <c r="A28" s="21"/>
      <c r="B28" s="1" t="s">
        <v>31</v>
      </c>
      <c r="G28" s="22">
        <v>0</v>
      </c>
    </row>
    <row r="29" spans="1:7" ht="13.5" customHeight="1">
      <c r="A29" s="21"/>
      <c r="B29" s="1" t="s">
        <v>29</v>
      </c>
      <c r="G29" s="22">
        <f>ROUND(SUM(G26,G28,F27),2)</f>
        <v>110250</v>
      </c>
    </row>
    <row r="30" spans="1:7" ht="13.5" customHeight="1">
      <c r="A30" s="13" t="s">
        <v>32</v>
      </c>
      <c r="B30" s="15"/>
      <c r="C30" s="15"/>
      <c r="D30" s="15"/>
      <c r="E30" s="15"/>
      <c r="F30" s="16" t="s">
        <v>14</v>
      </c>
      <c r="G30" s="25">
        <f>G24+SUM(G25,G29)</f>
        <v>1874250</v>
      </c>
    </row>
    <row r="31" ht="13.5"/>
    <row r="32" ht="13.5">
      <c r="A32" s="26" t="s">
        <v>33</v>
      </c>
    </row>
    <row r="33" spans="1:10" ht="13.5">
      <c r="A33" s="27">
        <v>20</v>
      </c>
      <c r="B33" s="1" t="str">
        <f>CONCATENATE("Downpayment ("&amp;A33&amp;"% of Selling Price)")</f>
        <v>Downpayment (20% of Selling Price)</v>
      </c>
      <c r="G33" s="22">
        <f>ROUND((G24+G25)*(A33/100),2)</f>
        <v>352800</v>
      </c>
      <c r="J33" s="22"/>
    </row>
    <row r="34" spans="1:10" ht="13.5" customHeight="1">
      <c r="A34" s="26"/>
      <c r="B34" s="1" t="s">
        <v>34</v>
      </c>
      <c r="G34" s="22">
        <f>ROUND(G29*(A33/100),2)</f>
        <v>22050</v>
      </c>
      <c r="J34" s="28"/>
    </row>
    <row r="35" spans="1:7" ht="13.5" customHeight="1">
      <c r="A35" s="13" t="s">
        <v>35</v>
      </c>
      <c r="B35" s="15"/>
      <c r="C35" s="15"/>
      <c r="D35" s="15"/>
      <c r="E35" s="15"/>
      <c r="F35" s="16" t="s">
        <v>14</v>
      </c>
      <c r="G35" s="25">
        <f>SUM(G33:G34)</f>
        <v>374850</v>
      </c>
    </row>
    <row r="36" spans="1:7" ht="13.5" customHeight="1">
      <c r="A36" s="1" t="s">
        <v>15</v>
      </c>
      <c r="B36" s="1" t="s">
        <v>36</v>
      </c>
      <c r="F36" s="29">
        <f>DATE(2021,1,15)</f>
        <v>44211</v>
      </c>
      <c r="G36" s="22">
        <v>20000</v>
      </c>
    </row>
    <row r="37" spans="1:7" ht="13.5" customHeight="1">
      <c r="A37" s="13" t="s">
        <v>37</v>
      </c>
      <c r="B37" s="15"/>
      <c r="C37" s="15"/>
      <c r="D37" s="15"/>
      <c r="E37" s="30"/>
      <c r="F37" s="16" t="s">
        <v>14</v>
      </c>
      <c r="G37" s="25">
        <f>G35-G36</f>
        <v>354850</v>
      </c>
    </row>
    <row r="38" ht="13.5">
      <c r="A38" s="21">
        <v>0</v>
      </c>
    </row>
    <row r="39" spans="1:7" ht="25.5" customHeight="1">
      <c r="A39" s="31">
        <f>VALUE(24)</f>
        <v>24</v>
      </c>
      <c r="B39" s="72" t="s">
        <v>38</v>
      </c>
      <c r="C39" s="72"/>
      <c r="D39" s="32" t="s">
        <v>39</v>
      </c>
      <c r="E39" s="33" t="s">
        <v>40</v>
      </c>
      <c r="F39" s="34" t="s">
        <v>29</v>
      </c>
      <c r="G39" s="35" t="s">
        <v>41</v>
      </c>
    </row>
    <row r="40" spans="1:7" ht="13.5">
      <c r="A40" s="64" t="s">
        <v>42</v>
      </c>
      <c r="B40" s="64"/>
      <c r="C40" s="64"/>
      <c r="D40" s="36">
        <f>ReservationDate+30</f>
        <v>44241</v>
      </c>
      <c r="E40" s="20">
        <f>ROUND((G35-G36-G34)/A39,2)</f>
        <v>13866.67</v>
      </c>
      <c r="F40" s="37">
        <f>ROUND(SUM(G34:G34)/A39,2)</f>
        <v>918.75</v>
      </c>
      <c r="G40" s="22">
        <f>SUM(E40:F40)</f>
        <v>14785.42</v>
      </c>
    </row>
    <row r="41" spans="1:7" ht="13.5">
      <c r="A41" s="64" t="s">
        <v>43</v>
      </c>
      <c r="B41" s="64"/>
      <c r="C41" s="64"/>
      <c r="D41" s="36">
        <f>IF($A$39&lt;VALUE(LEFT(A41,1))," ",DATE(YEAR(D40+30),MONTH(D40+30),DAY(D40)))</f>
        <v>44269</v>
      </c>
      <c r="E41" s="20">
        <f>IF($A$39&lt;VALUE(LEFT(A41,1))," ",IF($A$39=VALUE(LEFT(A41,1)),($G$35-$G$36-$G$34)-($E$40*($A$39-1)),E40))</f>
        <v>13866.67</v>
      </c>
      <c r="F41" s="37">
        <f>IF($A$39&lt;VALUE(LEFT(A41,1))," ",IF($A$39=VALUE(LEFT(A41,1)),$G$34-($F$40*($A$39-1)),F40))</f>
        <v>918.75</v>
      </c>
      <c r="G41" s="22">
        <f>IF($A$39&lt;VALUE(LEFT(A41,1))," ",SUM(E41:F41))</f>
        <v>14785.42</v>
      </c>
    </row>
    <row r="42" spans="1:7" ht="13.5">
      <c r="A42" s="64" t="s">
        <v>44</v>
      </c>
      <c r="B42" s="64"/>
      <c r="C42" s="64"/>
      <c r="D42" s="36">
        <f>IF($A$39&lt;VALUE(LEFT(A42,1))," ",DATE(YEAR(D41+30),MONTH(D41+30),DAY(D41)))</f>
        <v>44300</v>
      </c>
      <c r="E42" s="20">
        <f aca="true" t="shared" si="0" ref="E42:E48">IF($A$39&lt;VALUE(LEFT(A42,1))," ",IF($A$39=VALUE(LEFT(A42,1)),($G$35-$G$36-$G$34)-($E$40*($A$39-1)),E41))</f>
        <v>13866.67</v>
      </c>
      <c r="F42" s="37">
        <f aca="true" t="shared" si="1" ref="F42:F48">IF($A$39&lt;VALUE(LEFT(A42,1))," ",IF($A$39=VALUE(LEFT(A42,1)),$G$34-($F$40*($A$39-1)),F41))</f>
        <v>918.75</v>
      </c>
      <c r="G42" s="22">
        <f aca="true" t="shared" si="2" ref="G42:G48">IF($A$39&lt;VALUE(LEFT(A42,1))," ",SUM(E42:F42))</f>
        <v>14785.42</v>
      </c>
    </row>
    <row r="43" spans="1:7" ht="13.5">
      <c r="A43" s="64" t="s">
        <v>45</v>
      </c>
      <c r="B43" s="64"/>
      <c r="C43" s="64"/>
      <c r="D43" s="36">
        <f aca="true" t="shared" si="3" ref="D43:D48">IF($A$39&lt;VALUE(LEFT(A43,1))," ",DATE(YEAR(D42+30),MONTH(D42+30),DAY(D42)))</f>
        <v>44330</v>
      </c>
      <c r="E43" s="20">
        <f t="shared" si="0"/>
        <v>13866.67</v>
      </c>
      <c r="F43" s="37">
        <f t="shared" si="1"/>
        <v>918.75</v>
      </c>
      <c r="G43" s="22">
        <f t="shared" si="2"/>
        <v>14785.42</v>
      </c>
    </row>
    <row r="44" spans="1:7" ht="13.5">
      <c r="A44" s="64" t="s">
        <v>46</v>
      </c>
      <c r="B44" s="64"/>
      <c r="C44" s="64"/>
      <c r="D44" s="36">
        <f t="shared" si="3"/>
        <v>44361</v>
      </c>
      <c r="E44" s="20">
        <f t="shared" si="0"/>
        <v>13866.67</v>
      </c>
      <c r="F44" s="37">
        <f t="shared" si="1"/>
        <v>918.75</v>
      </c>
      <c r="G44" s="22">
        <f t="shared" si="2"/>
        <v>14785.42</v>
      </c>
    </row>
    <row r="45" spans="1:7" ht="13.5">
      <c r="A45" s="64" t="s">
        <v>47</v>
      </c>
      <c r="B45" s="64"/>
      <c r="C45" s="64"/>
      <c r="D45" s="36">
        <f t="shared" si="3"/>
        <v>44391</v>
      </c>
      <c r="E45" s="20">
        <f t="shared" si="0"/>
        <v>13866.67</v>
      </c>
      <c r="F45" s="37">
        <f t="shared" si="1"/>
        <v>918.75</v>
      </c>
      <c r="G45" s="22">
        <f t="shared" si="2"/>
        <v>14785.42</v>
      </c>
    </row>
    <row r="46" spans="1:7" ht="13.5">
      <c r="A46" s="64" t="s">
        <v>48</v>
      </c>
      <c r="B46" s="64"/>
      <c r="C46" s="64"/>
      <c r="D46" s="36">
        <f t="shared" si="3"/>
        <v>44422</v>
      </c>
      <c r="E46" s="20">
        <f t="shared" si="0"/>
        <v>13866.67</v>
      </c>
      <c r="F46" s="37">
        <f t="shared" si="1"/>
        <v>918.75</v>
      </c>
      <c r="G46" s="22">
        <f t="shared" si="2"/>
        <v>14785.42</v>
      </c>
    </row>
    <row r="47" spans="1:7" ht="13.5">
      <c r="A47" s="64" t="s">
        <v>49</v>
      </c>
      <c r="B47" s="64"/>
      <c r="C47" s="64"/>
      <c r="D47" s="36">
        <f t="shared" si="3"/>
        <v>44453</v>
      </c>
      <c r="E47" s="20">
        <f t="shared" si="0"/>
        <v>13866.67</v>
      </c>
      <c r="F47" s="37">
        <f t="shared" si="1"/>
        <v>918.75</v>
      </c>
      <c r="G47" s="22">
        <f t="shared" si="2"/>
        <v>14785.42</v>
      </c>
    </row>
    <row r="48" spans="1:7" ht="13.5">
      <c r="A48" s="64" t="s">
        <v>50</v>
      </c>
      <c r="B48" s="64"/>
      <c r="C48" s="64"/>
      <c r="D48" s="36">
        <f t="shared" si="3"/>
        <v>44483</v>
      </c>
      <c r="E48" s="20">
        <f t="shared" si="0"/>
        <v>13866.67</v>
      </c>
      <c r="F48" s="37">
        <f t="shared" si="1"/>
        <v>918.75</v>
      </c>
      <c r="G48" s="22">
        <f t="shared" si="2"/>
        <v>14785.42</v>
      </c>
    </row>
    <row r="49" spans="1:7" ht="13.5">
      <c r="A49" s="64" t="s">
        <v>51</v>
      </c>
      <c r="B49" s="64"/>
      <c r="C49" s="64"/>
      <c r="D49" s="36">
        <f>IF($A$39&lt;VALUE(LEFT(A49,2))," ",DATE(YEAR(D48+30),MONTH(D48+30),DAY(D48)))</f>
        <v>44514</v>
      </c>
      <c r="E49" s="20">
        <f>IF($A$39&lt;VALUE(LEFT(A49,2))," ",IF($A$39=VALUE(LEFT(A49,2)),($G$35-$G$36-$G$34)-($E$40*($A$39-1)),E48))</f>
        <v>13866.67</v>
      </c>
      <c r="F49" s="37">
        <f>IF($A$39&lt;VALUE(LEFT(A49,2))," ",IF($A$39=VALUE(LEFT(A49,2)),$G$34-($F$40*($A$39-1)),F48))</f>
        <v>918.75</v>
      </c>
      <c r="G49" s="22">
        <f>IF($A$39&lt;VALUE(LEFT(A49,2))," ",SUM(E49:F49))</f>
        <v>14785.42</v>
      </c>
    </row>
    <row r="50" spans="1:7" ht="13.5">
      <c r="A50" s="64" t="s">
        <v>52</v>
      </c>
      <c r="B50" s="64"/>
      <c r="C50" s="64"/>
      <c r="D50" s="36">
        <f aca="true" t="shared" si="4" ref="D50:D63">IF($A$39&lt;VALUE(LEFT(A50,2))," ",DATE(YEAR(D49+30),MONTH(D49+30),DAY(D49)))</f>
        <v>44544</v>
      </c>
      <c r="E50" s="20">
        <f aca="true" t="shared" si="5" ref="E50:E62">IF($A$39&lt;VALUE(LEFT(A50,2))," ",IF($A$39=VALUE(LEFT(A50,2)),($G$35-$G$36-$G$34)-($E$40*($A$39-1)),E49))</f>
        <v>13866.67</v>
      </c>
      <c r="F50" s="37">
        <f aca="true" t="shared" si="6" ref="F50:F62">IF($A$39&lt;VALUE(LEFT(A50,2))," ",IF($A$39=VALUE(LEFT(A50,2)),$G$34-($F$40*($A$39-1)),F49))</f>
        <v>918.75</v>
      </c>
      <c r="G50" s="22">
        <f aca="true" t="shared" si="7" ref="G50:G62">IF($A$39&lt;VALUE(LEFT(A50,2))," ",SUM(E50:F50))</f>
        <v>14785.42</v>
      </c>
    </row>
    <row r="51" spans="1:7" ht="13.5">
      <c r="A51" s="64" t="s">
        <v>53</v>
      </c>
      <c r="B51" s="64"/>
      <c r="C51" s="64"/>
      <c r="D51" s="36">
        <f t="shared" si="4"/>
        <v>44575</v>
      </c>
      <c r="E51" s="20">
        <f t="shared" si="5"/>
        <v>13866.67</v>
      </c>
      <c r="F51" s="37">
        <f t="shared" si="6"/>
        <v>918.75</v>
      </c>
      <c r="G51" s="22">
        <f t="shared" si="7"/>
        <v>14785.42</v>
      </c>
    </row>
    <row r="52" spans="1:7" ht="13.5">
      <c r="A52" s="64" t="s">
        <v>54</v>
      </c>
      <c r="B52" s="64"/>
      <c r="C52" s="64"/>
      <c r="D52" s="36">
        <f t="shared" si="4"/>
        <v>44606</v>
      </c>
      <c r="E52" s="20">
        <f t="shared" si="5"/>
        <v>13866.67</v>
      </c>
      <c r="F52" s="37">
        <f t="shared" si="6"/>
        <v>918.75</v>
      </c>
      <c r="G52" s="22">
        <f t="shared" si="7"/>
        <v>14785.42</v>
      </c>
    </row>
    <row r="53" spans="1:7" ht="13.5">
      <c r="A53" s="64" t="s">
        <v>55</v>
      </c>
      <c r="B53" s="64"/>
      <c r="C53" s="64"/>
      <c r="D53" s="36">
        <f t="shared" si="4"/>
        <v>44634</v>
      </c>
      <c r="E53" s="20">
        <f t="shared" si="5"/>
        <v>13866.67</v>
      </c>
      <c r="F53" s="37">
        <f t="shared" si="6"/>
        <v>918.75</v>
      </c>
      <c r="G53" s="22">
        <f t="shared" si="7"/>
        <v>14785.42</v>
      </c>
    </row>
    <row r="54" spans="1:7" ht="13.5">
      <c r="A54" s="64" t="s">
        <v>56</v>
      </c>
      <c r="B54" s="64"/>
      <c r="C54" s="64"/>
      <c r="D54" s="36">
        <f t="shared" si="4"/>
        <v>44665</v>
      </c>
      <c r="E54" s="20">
        <f t="shared" si="5"/>
        <v>13866.67</v>
      </c>
      <c r="F54" s="37">
        <f t="shared" si="6"/>
        <v>918.75</v>
      </c>
      <c r="G54" s="22">
        <f t="shared" si="7"/>
        <v>14785.42</v>
      </c>
    </row>
    <row r="55" spans="1:7" ht="13.5">
      <c r="A55" s="64" t="s">
        <v>57</v>
      </c>
      <c r="B55" s="64"/>
      <c r="C55" s="64"/>
      <c r="D55" s="36">
        <f t="shared" si="4"/>
        <v>44695</v>
      </c>
      <c r="E55" s="20">
        <f t="shared" si="5"/>
        <v>13866.67</v>
      </c>
      <c r="F55" s="37">
        <f t="shared" si="6"/>
        <v>918.75</v>
      </c>
      <c r="G55" s="22">
        <f t="shared" si="7"/>
        <v>14785.42</v>
      </c>
    </row>
    <row r="56" spans="1:7" ht="13.5">
      <c r="A56" s="64" t="s">
        <v>58</v>
      </c>
      <c r="B56" s="64"/>
      <c r="C56" s="64"/>
      <c r="D56" s="36">
        <f t="shared" si="4"/>
        <v>44726</v>
      </c>
      <c r="E56" s="20">
        <f t="shared" si="5"/>
        <v>13866.67</v>
      </c>
      <c r="F56" s="37">
        <f t="shared" si="6"/>
        <v>918.75</v>
      </c>
      <c r="G56" s="22">
        <f t="shared" si="7"/>
        <v>14785.42</v>
      </c>
    </row>
    <row r="57" spans="1:7" ht="13.5">
      <c r="A57" s="64" t="s">
        <v>59</v>
      </c>
      <c r="B57" s="64"/>
      <c r="C57" s="64"/>
      <c r="D57" s="36">
        <f t="shared" si="4"/>
        <v>44756</v>
      </c>
      <c r="E57" s="20">
        <f t="shared" si="5"/>
        <v>13866.67</v>
      </c>
      <c r="F57" s="37">
        <f t="shared" si="6"/>
        <v>918.75</v>
      </c>
      <c r="G57" s="22">
        <f t="shared" si="7"/>
        <v>14785.42</v>
      </c>
    </row>
    <row r="58" spans="1:7" ht="13.5">
      <c r="A58" s="64" t="s">
        <v>60</v>
      </c>
      <c r="B58" s="64"/>
      <c r="C58" s="64"/>
      <c r="D58" s="36">
        <f t="shared" si="4"/>
        <v>44787</v>
      </c>
      <c r="E58" s="20">
        <f t="shared" si="5"/>
        <v>13866.67</v>
      </c>
      <c r="F58" s="37">
        <f t="shared" si="6"/>
        <v>918.75</v>
      </c>
      <c r="G58" s="22">
        <f t="shared" si="7"/>
        <v>14785.42</v>
      </c>
    </row>
    <row r="59" spans="1:7" ht="13.5">
      <c r="A59" s="64" t="s">
        <v>61</v>
      </c>
      <c r="B59" s="64"/>
      <c r="C59" s="64"/>
      <c r="D59" s="36">
        <f t="shared" si="4"/>
        <v>44818</v>
      </c>
      <c r="E59" s="20">
        <f t="shared" si="5"/>
        <v>13866.67</v>
      </c>
      <c r="F59" s="37">
        <f t="shared" si="6"/>
        <v>918.75</v>
      </c>
      <c r="G59" s="22">
        <f t="shared" si="7"/>
        <v>14785.42</v>
      </c>
    </row>
    <row r="60" spans="1:7" ht="13.5">
      <c r="A60" s="64" t="s">
        <v>62</v>
      </c>
      <c r="B60" s="64"/>
      <c r="C60" s="64"/>
      <c r="D60" s="36">
        <f t="shared" si="4"/>
        <v>44848</v>
      </c>
      <c r="E60" s="20">
        <f t="shared" si="5"/>
        <v>13866.67</v>
      </c>
      <c r="F60" s="37">
        <f t="shared" si="6"/>
        <v>918.75</v>
      </c>
      <c r="G60" s="22">
        <f t="shared" si="7"/>
        <v>14785.42</v>
      </c>
    </row>
    <row r="61" spans="1:7" ht="13.5">
      <c r="A61" s="64" t="s">
        <v>63</v>
      </c>
      <c r="B61" s="64"/>
      <c r="C61" s="64"/>
      <c r="D61" s="36">
        <f t="shared" si="4"/>
        <v>44879</v>
      </c>
      <c r="E61" s="20">
        <f t="shared" si="5"/>
        <v>13866.67</v>
      </c>
      <c r="F61" s="37">
        <f t="shared" si="6"/>
        <v>918.75</v>
      </c>
      <c r="G61" s="22">
        <f t="shared" si="7"/>
        <v>14785.42</v>
      </c>
    </row>
    <row r="62" spans="1:7" ht="13.5">
      <c r="A62" s="64" t="s">
        <v>64</v>
      </c>
      <c r="B62" s="64"/>
      <c r="C62" s="64"/>
      <c r="D62" s="36">
        <f t="shared" si="4"/>
        <v>44909</v>
      </c>
      <c r="E62" s="20">
        <f t="shared" si="5"/>
        <v>13866.67</v>
      </c>
      <c r="F62" s="37">
        <f t="shared" si="6"/>
        <v>918.75</v>
      </c>
      <c r="G62" s="22">
        <f t="shared" si="7"/>
        <v>14785.42</v>
      </c>
    </row>
    <row r="63" spans="1:7" ht="13.5">
      <c r="A63" s="64" t="s">
        <v>65</v>
      </c>
      <c r="B63" s="64"/>
      <c r="C63" s="64"/>
      <c r="D63" s="36">
        <f t="shared" si="4"/>
        <v>44940</v>
      </c>
      <c r="E63" s="20">
        <f>IF($A$39&lt;VALUE(LEFT(A63,2))," ",IF($A$39=VALUE(LEFT(A63,2)),($G$35-$G$36-$G$34)-($E$40*($A$39-1)),E62))</f>
        <v>13866.590000000026</v>
      </c>
      <c r="F63" s="37">
        <f>IF($A$39&lt;VALUE(LEFT(A63,2))," ",IF($A$39=VALUE(LEFT(A63,2)),$G$34-($F$40*($A$39-1)),F62))</f>
        <v>918.75</v>
      </c>
      <c r="G63" s="22">
        <f>IF($A$39&lt;VALUE(LEFT(A63,2))," ",SUM(E63:F63))</f>
        <v>14785.340000000026</v>
      </c>
    </row>
    <row r="64" spans="1:7" ht="13.5">
      <c r="A64" s="64" t="s">
        <v>66</v>
      </c>
      <c r="B64" s="64"/>
      <c r="C64" s="64"/>
      <c r="D64" s="36" t="str">
        <f aca="true" t="shared" si="8" ref="D64:D75">IF($A$39&lt;VALUE(LEFT(A64,2))," ",DATE(YEAR(D63+30),MONTH(D63+30),DAY(D63)))</f>
        <v> </v>
      </c>
      <c r="E64" s="20" t="str">
        <f aca="true" t="shared" si="9" ref="E64:E75">IF($A$39&lt;VALUE(LEFT(A64,2))," ",IF($A$39=VALUE(LEFT(A64,2)),($G$35-$G$36-$G$34)-($E$40*($A$39-1)),E63))</f>
        <v> </v>
      </c>
      <c r="F64" s="37" t="str">
        <f aca="true" t="shared" si="10" ref="F64:F75">IF($A$39&lt;VALUE(LEFT(A64,2))," ",IF($A$39=VALUE(LEFT(A64,2)),$G$34-($F$40*($A$39-1)),F63))</f>
        <v> </v>
      </c>
      <c r="G64" s="22" t="str">
        <f aca="true" t="shared" si="11" ref="G64:G75">IF($A$39&lt;VALUE(LEFT(A64,2))," ",SUM(E64:F64))</f>
        <v> </v>
      </c>
    </row>
    <row r="65" spans="1:7" ht="13.5">
      <c r="A65" s="64" t="s">
        <v>67</v>
      </c>
      <c r="B65" s="64"/>
      <c r="C65" s="64"/>
      <c r="D65" s="36" t="str">
        <f t="shared" si="8"/>
        <v> </v>
      </c>
      <c r="E65" s="20" t="str">
        <f t="shared" si="9"/>
        <v> </v>
      </c>
      <c r="F65" s="37" t="str">
        <f t="shared" si="10"/>
        <v> </v>
      </c>
      <c r="G65" s="22" t="str">
        <f t="shared" si="11"/>
        <v> </v>
      </c>
    </row>
    <row r="66" spans="1:7" ht="13.5">
      <c r="A66" s="64" t="s">
        <v>68</v>
      </c>
      <c r="B66" s="64"/>
      <c r="C66" s="64"/>
      <c r="D66" s="36" t="str">
        <f t="shared" si="8"/>
        <v> </v>
      </c>
      <c r="E66" s="20" t="str">
        <f t="shared" si="9"/>
        <v> </v>
      </c>
      <c r="F66" s="37" t="str">
        <f t="shared" si="10"/>
        <v> </v>
      </c>
      <c r="G66" s="22" t="str">
        <f t="shared" si="11"/>
        <v> </v>
      </c>
    </row>
    <row r="67" spans="1:7" ht="13.5">
      <c r="A67" s="64" t="s">
        <v>69</v>
      </c>
      <c r="B67" s="64"/>
      <c r="C67" s="64"/>
      <c r="D67" s="36" t="str">
        <f t="shared" si="8"/>
        <v> </v>
      </c>
      <c r="E67" s="20" t="str">
        <f t="shared" si="9"/>
        <v> </v>
      </c>
      <c r="F67" s="37" t="str">
        <f t="shared" si="10"/>
        <v> </v>
      </c>
      <c r="G67" s="22" t="str">
        <f t="shared" si="11"/>
        <v> </v>
      </c>
    </row>
    <row r="68" spans="1:7" ht="13.5">
      <c r="A68" s="64" t="s">
        <v>70</v>
      </c>
      <c r="B68" s="64"/>
      <c r="C68" s="64"/>
      <c r="D68" s="36" t="str">
        <f t="shared" si="8"/>
        <v> </v>
      </c>
      <c r="E68" s="20" t="str">
        <f t="shared" si="9"/>
        <v> </v>
      </c>
      <c r="F68" s="37" t="str">
        <f t="shared" si="10"/>
        <v> </v>
      </c>
      <c r="G68" s="22" t="str">
        <f t="shared" si="11"/>
        <v> </v>
      </c>
    </row>
    <row r="69" spans="1:7" ht="13.5">
      <c r="A69" s="64" t="s">
        <v>71</v>
      </c>
      <c r="B69" s="64"/>
      <c r="C69" s="64"/>
      <c r="D69" s="36" t="str">
        <f t="shared" si="8"/>
        <v> </v>
      </c>
      <c r="E69" s="20" t="str">
        <f t="shared" si="9"/>
        <v> </v>
      </c>
      <c r="F69" s="37" t="str">
        <f t="shared" si="10"/>
        <v> </v>
      </c>
      <c r="G69" s="22" t="str">
        <f t="shared" si="11"/>
        <v> </v>
      </c>
    </row>
    <row r="70" spans="1:7" ht="13.5">
      <c r="A70" s="64" t="s">
        <v>72</v>
      </c>
      <c r="B70" s="64"/>
      <c r="C70" s="64"/>
      <c r="D70" s="36" t="str">
        <f t="shared" si="8"/>
        <v> </v>
      </c>
      <c r="E70" s="20" t="str">
        <f t="shared" si="9"/>
        <v> </v>
      </c>
      <c r="F70" s="37" t="str">
        <f t="shared" si="10"/>
        <v> </v>
      </c>
      <c r="G70" s="22" t="str">
        <f t="shared" si="11"/>
        <v> </v>
      </c>
    </row>
    <row r="71" spans="1:7" ht="13.5">
      <c r="A71" s="64" t="s">
        <v>73</v>
      </c>
      <c r="B71" s="64"/>
      <c r="C71" s="64"/>
      <c r="D71" s="36" t="str">
        <f t="shared" si="8"/>
        <v> </v>
      </c>
      <c r="E71" s="20" t="str">
        <f t="shared" si="9"/>
        <v> </v>
      </c>
      <c r="F71" s="37" t="str">
        <f t="shared" si="10"/>
        <v> </v>
      </c>
      <c r="G71" s="22" t="str">
        <f t="shared" si="11"/>
        <v> </v>
      </c>
    </row>
    <row r="72" spans="1:7" ht="13.5">
      <c r="A72" s="64" t="s">
        <v>74</v>
      </c>
      <c r="B72" s="64"/>
      <c r="C72" s="64"/>
      <c r="D72" s="36" t="str">
        <f t="shared" si="8"/>
        <v> </v>
      </c>
      <c r="E72" s="20" t="str">
        <f t="shared" si="9"/>
        <v> </v>
      </c>
      <c r="F72" s="37" t="str">
        <f t="shared" si="10"/>
        <v> </v>
      </c>
      <c r="G72" s="22" t="str">
        <f t="shared" si="11"/>
        <v> </v>
      </c>
    </row>
    <row r="73" spans="1:7" ht="13.5">
      <c r="A73" s="64" t="s">
        <v>75</v>
      </c>
      <c r="B73" s="64"/>
      <c r="C73" s="64"/>
      <c r="D73" s="36" t="str">
        <f t="shared" si="8"/>
        <v> </v>
      </c>
      <c r="E73" s="20" t="str">
        <f t="shared" si="9"/>
        <v> </v>
      </c>
      <c r="F73" s="37" t="str">
        <f t="shared" si="10"/>
        <v> </v>
      </c>
      <c r="G73" s="22" t="str">
        <f t="shared" si="11"/>
        <v> </v>
      </c>
    </row>
    <row r="74" spans="1:7" ht="13.5">
      <c r="A74" s="64" t="s">
        <v>76</v>
      </c>
      <c r="B74" s="64"/>
      <c r="C74" s="64"/>
      <c r="D74" s="36" t="str">
        <f t="shared" si="8"/>
        <v> </v>
      </c>
      <c r="E74" s="20" t="str">
        <f t="shared" si="9"/>
        <v> </v>
      </c>
      <c r="F74" s="37" t="str">
        <f t="shared" si="10"/>
        <v> </v>
      </c>
      <c r="G74" s="22" t="str">
        <f t="shared" si="11"/>
        <v> </v>
      </c>
    </row>
    <row r="75" spans="1:7" ht="13.5">
      <c r="A75" s="64" t="s">
        <v>77</v>
      </c>
      <c r="B75" s="64"/>
      <c r="C75" s="64"/>
      <c r="D75" s="36" t="str">
        <f t="shared" si="8"/>
        <v> </v>
      </c>
      <c r="E75" s="20" t="str">
        <f t="shared" si="9"/>
        <v> </v>
      </c>
      <c r="F75" s="37" t="str">
        <f t="shared" si="10"/>
        <v> </v>
      </c>
      <c r="G75" s="22" t="str">
        <f t="shared" si="11"/>
        <v> </v>
      </c>
    </row>
    <row r="76" spans="2:7" ht="13.5">
      <c r="B76" s="38"/>
      <c r="E76" s="39"/>
      <c r="F76" s="29"/>
      <c r="G76" s="40"/>
    </row>
    <row r="77" ht="13.5">
      <c r="A77" s="26" t="s">
        <v>78</v>
      </c>
    </row>
    <row r="78" spans="2:6" ht="13.5">
      <c r="B78" s="1" t="s">
        <v>79</v>
      </c>
      <c r="F78" s="41">
        <f>DATE(YEAR(MAX(D40:D75)+30),MONTH(MAX(D40:D75))-5,DAY(MAX(D40:D75)))</f>
        <v>44787</v>
      </c>
    </row>
    <row r="79" spans="2:9" ht="13.5">
      <c r="B79" s="1" t="s">
        <v>80</v>
      </c>
      <c r="F79" s="41">
        <f>DATE(YEAR(MAX(D40:D75)+30),MONTH(MAX(D40:D75)+30),DAY(D40))</f>
        <v>44971</v>
      </c>
      <c r="G79" s="42">
        <f>ROUND(((G24+G25)*((100-A33)/100))+(G29*(100-A33)/100),2)</f>
        <v>1499400</v>
      </c>
      <c r="I79" s="22"/>
    </row>
    <row r="80" ht="13.5">
      <c r="B80" s="1" t="s">
        <v>81</v>
      </c>
    </row>
    <row r="82" spans="1:4" ht="13.5">
      <c r="A82" s="43" t="s">
        <v>82</v>
      </c>
      <c r="B82" s="44"/>
      <c r="C82" s="44"/>
      <c r="D82" s="44"/>
    </row>
    <row r="83" spans="1:7" ht="13.5">
      <c r="A83" s="63" t="s">
        <v>83</v>
      </c>
      <c r="B83" s="63"/>
      <c r="C83" s="63"/>
      <c r="D83" s="63"/>
      <c r="E83" s="63"/>
      <c r="F83" s="63"/>
      <c r="G83" s="63"/>
    </row>
    <row r="84" spans="1:4" ht="13.5">
      <c r="A84" s="44" t="s">
        <v>84</v>
      </c>
      <c r="B84" s="44"/>
      <c r="C84" s="44"/>
      <c r="D84" s="44"/>
    </row>
    <row r="85" spans="1:4" ht="13.5">
      <c r="A85" s="44" t="s">
        <v>85</v>
      </c>
      <c r="B85" s="44"/>
      <c r="C85" s="44"/>
      <c r="D85" s="44"/>
    </row>
    <row r="86" spans="1:4" ht="13.5">
      <c r="A86" s="44" t="s">
        <v>86</v>
      </c>
      <c r="B86" s="44"/>
      <c r="C86" s="44"/>
      <c r="D86" s="44"/>
    </row>
    <row r="87" spans="1:4" ht="13.5">
      <c r="A87" s="45" t="s">
        <v>87</v>
      </c>
      <c r="B87" s="44"/>
      <c r="C87" s="44"/>
      <c r="D87" s="44"/>
    </row>
    <row r="88" spans="1:4" ht="13.5">
      <c r="A88" s="45" t="s">
        <v>88</v>
      </c>
      <c r="B88" s="44"/>
      <c r="C88" s="44"/>
      <c r="D88" s="44"/>
    </row>
    <row r="89" spans="1:4" ht="13.5">
      <c r="A89" s="45" t="s">
        <v>89</v>
      </c>
      <c r="B89" s="44"/>
      <c r="C89" s="44"/>
      <c r="D89" s="44"/>
    </row>
    <row r="90" spans="1:4" ht="13.5">
      <c r="A90" s="45" t="s">
        <v>90</v>
      </c>
      <c r="B90" s="44"/>
      <c r="C90" s="44"/>
      <c r="D90" s="44"/>
    </row>
    <row r="91" spans="1:4" ht="13.5">
      <c r="A91" s="45" t="s">
        <v>91</v>
      </c>
      <c r="B91" s="44"/>
      <c r="C91" s="44"/>
      <c r="D91" s="44"/>
    </row>
    <row r="92" spans="1:7" ht="13.5">
      <c r="A92" s="63" t="s">
        <v>92</v>
      </c>
      <c r="B92" s="63"/>
      <c r="C92" s="63"/>
      <c r="D92" s="63"/>
      <c r="E92" s="63"/>
      <c r="F92" s="63"/>
      <c r="G92" s="63"/>
    </row>
    <row r="93" spans="1:7" ht="13.5">
      <c r="A93" s="63"/>
      <c r="B93" s="63"/>
      <c r="C93" s="63"/>
      <c r="D93" s="63"/>
      <c r="E93" s="63"/>
      <c r="F93" s="63"/>
      <c r="G93" s="63"/>
    </row>
    <row r="94" spans="1:7" ht="13.5">
      <c r="A94" s="73"/>
      <c r="B94" s="73"/>
      <c r="C94" s="73"/>
      <c r="D94" s="73"/>
      <c r="E94" s="73"/>
      <c r="F94" s="73"/>
      <c r="G94" s="73"/>
    </row>
    <row r="97" spans="1:5" ht="13.5">
      <c r="A97" s="1" t="s">
        <v>93</v>
      </c>
      <c r="E97" s="1" t="s">
        <v>94</v>
      </c>
    </row>
    <row r="100" spans="1:7" ht="13.5">
      <c r="A100" s="46"/>
      <c r="B100" s="46"/>
      <c r="C100" s="46"/>
      <c r="E100" s="46"/>
      <c r="F100" s="46"/>
      <c r="G100" s="46"/>
    </row>
    <row r="101" spans="1:5" ht="13.5">
      <c r="A101" s="1" t="s">
        <v>95</v>
      </c>
      <c r="E101" s="1" t="s">
        <v>95</v>
      </c>
    </row>
    <row r="102" spans="1:5" ht="13.5">
      <c r="A102" s="1" t="s">
        <v>96</v>
      </c>
      <c r="E102" s="1" t="s">
        <v>97</v>
      </c>
    </row>
    <row r="105" ht="13.5">
      <c r="A105" s="1" t="s">
        <v>98</v>
      </c>
    </row>
    <row r="106" ht="13.5"/>
    <row r="107" ht="13.5"/>
    <row r="108" spans="1:3" ht="13.5">
      <c r="A108" s="46"/>
      <c r="B108" s="46"/>
      <c r="C108" s="46"/>
    </row>
    <row r="109" ht="13.5">
      <c r="A109" s="1" t="s">
        <v>95</v>
      </c>
    </row>
    <row r="110" ht="13.5">
      <c r="A110" s="1" t="s">
        <v>99</v>
      </c>
    </row>
  </sheetData>
  <sheetProtection/>
  <mergeCells count="46">
    <mergeCell ref="A93:G93"/>
    <mergeCell ref="A94:G94"/>
    <mergeCell ref="A74:C74"/>
    <mergeCell ref="A75:C75"/>
    <mergeCell ref="A68:C68"/>
    <mergeCell ref="A69:C69"/>
    <mergeCell ref="A70:C70"/>
    <mergeCell ref="A71:C71"/>
    <mergeCell ref="A72:C72"/>
    <mergeCell ref="A73:C73"/>
    <mergeCell ref="A44:C44"/>
    <mergeCell ref="A64:C64"/>
    <mergeCell ref="A65:C65"/>
    <mergeCell ref="A66:C66"/>
    <mergeCell ref="A67:C67"/>
    <mergeCell ref="A61:C61"/>
    <mergeCell ref="A50:C50"/>
    <mergeCell ref="A51:C51"/>
    <mergeCell ref="A58:C58"/>
    <mergeCell ref="A52:C52"/>
    <mergeCell ref="A41:C41"/>
    <mergeCell ref="A42:C42"/>
    <mergeCell ref="F7:G7"/>
    <mergeCell ref="B39:C39"/>
    <mergeCell ref="A43:C43"/>
    <mergeCell ref="A40:C40"/>
    <mergeCell ref="B1:F1"/>
    <mergeCell ref="A54:C54"/>
    <mergeCell ref="A55:C55"/>
    <mergeCell ref="A56:C56"/>
    <mergeCell ref="A57:C57"/>
    <mergeCell ref="B2:F2"/>
    <mergeCell ref="A3:G3"/>
    <mergeCell ref="A45:C45"/>
    <mergeCell ref="F6:G6"/>
    <mergeCell ref="A49:C49"/>
    <mergeCell ref="A92:G92"/>
    <mergeCell ref="A62:C62"/>
    <mergeCell ref="A83:G83"/>
    <mergeCell ref="A53:C53"/>
    <mergeCell ref="A46:C46"/>
    <mergeCell ref="A47:C47"/>
    <mergeCell ref="A48:C48"/>
    <mergeCell ref="A63:C63"/>
    <mergeCell ref="A59:C59"/>
    <mergeCell ref="A60:C60"/>
  </mergeCells>
  <conditionalFormatting sqref="B11 B25">
    <cfRule type="expression" priority="1" dxfId="10" stopIfTrue="1">
      <formula>G11=0</formula>
    </cfRule>
  </conditionalFormatting>
  <conditionalFormatting sqref="A41:C48">
    <cfRule type="expression" priority="2" dxfId="10" stopIfTrue="1">
      <formula>VALUE(NoDPSchedule)&lt;VALUE(LEFT(A41,1))</formula>
    </cfRule>
  </conditionalFormatting>
  <conditionalFormatting sqref="A49:C75">
    <cfRule type="expression" priority="3" dxfId="10" stopIfTrue="1">
      <formula>VALUE(NoDPSchedule)&lt;VALUE(LEFT(A49,2))</formula>
    </cfRule>
  </conditionalFormatting>
  <conditionalFormatting sqref="G11 G25">
    <cfRule type="expression" priority="4" dxfId="10" stopIfTrue="1">
      <formula>G11=0</formula>
    </cfRule>
  </conditionalFormatting>
  <conditionalFormatting sqref="D4">
    <cfRule type="expression" priority="5" dxfId="11" stopIfTrue="1">
      <formula>G5&lt;=TODAY()</formula>
    </cfRule>
  </conditionalFormatting>
  <printOptions horizontalCentered="1"/>
  <pageMargins left="0.25" right="0.25" top="0.5" bottom="0.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AVIDA Baldovino, Dhiana R.</cp:lastModifiedBy>
  <dcterms:created xsi:type="dcterms:W3CDTF">2021-01-15T10:47:03Z</dcterms:created>
  <dcterms:modified xsi:type="dcterms:W3CDTF">2021-01-15T10:47:03Z</dcterms:modified>
  <cp:category/>
  <cp:version/>
  <cp:contentType/>
  <cp:contentStatus/>
</cp:coreProperties>
</file>