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pauliner\Documents\1 - Sales\1-Template\"/>
    </mc:Choice>
  </mc:AlternateContent>
  <workbookProtection workbookAlgorithmName="SHA-512" workbookHashValue="Lp8qfy++2qJRXiZ+lz89eoNVUcrYrL7XnZX906OV4UNQwDMLn9DaHyHs38LqYpARGCE0Jm96k7TSB8v8erU28Q==" workbookSaltValue="9+e8AoKDlVzO0mSNNXm/0A==" workbookSpinCount="100000" lockStructure="1"/>
  <bookViews>
    <workbookView xWindow="0" yWindow="0" windowWidth="19200" windowHeight="8300" tabRatio="839" firstSheet="6" activeTab="6"/>
  </bookViews>
  <sheets>
    <sheet name="Arborage B" sheetId="28" state="hidden" r:id="rId1"/>
    <sheet name="West Parc" sheetId="6" state="hidden" r:id="rId2"/>
    <sheet name="Meridien" sheetId="3" state="hidden" r:id="rId3"/>
    <sheet name="Woodmore Spring" sheetId="5" state="hidden" r:id="rId4"/>
    <sheet name="Sunshine Place" sheetId="2" state="hidden" r:id="rId5"/>
    <sheet name="Prominence II" sheetId="7" state="hidden" r:id="rId6"/>
    <sheet name="Input" sheetId="1" r:id="rId7"/>
    <sheet name="The Arborage" sheetId="4" state="hidden" r:id="rId8"/>
    <sheet name="Price List" sheetId="30" r:id="rId9"/>
    <sheet name="NPV for Arb B vs Promo Terms" sheetId="39" state="hidden" r:id="rId10"/>
    <sheet name="NPV for Arborage B" sheetId="34" state="hidden" r:id="rId11"/>
    <sheet name="NPV" sheetId="21" state="hidden" r:id="rId12"/>
    <sheet name="Summary - All Clusters" sheetId="9" r:id="rId13"/>
    <sheet name="Summary - Arborage B" sheetId="36" r:id="rId14"/>
    <sheet name="Spot Cash" sheetId="37" state="hidden" r:id="rId15"/>
    <sheet name="Cash 95-5 (For ARB B)" sheetId="32" r:id="rId16"/>
    <sheet name="50k MA(23)-2.5%Bullet (ARB B)" sheetId="41" r:id="rId17"/>
    <sheet name="50k MA(23)-5% Bullet (ARB B)" sheetId="40" r:id="rId18"/>
    <sheet name="30-70 (36)" sheetId="27" r:id="rId19"/>
    <sheet name="10-40(24)-50" sheetId="38" r:id="rId20"/>
    <sheet name="Cash 30" sheetId="8" r:id="rId21"/>
    <sheet name="30-70 (30)" sheetId="16" state="hidden" r:id="rId22"/>
    <sheet name="10-90" sheetId="26" r:id="rId23"/>
    <sheet name="10 (mo 1-23)-2% Bullet" sheetId="42" r:id="rId24"/>
    <sheet name="10-10-80" sheetId="17" state="hidden" r:id="rId25"/>
    <sheet name="20-40-40" sheetId="18" state="hidden" r:id="rId26"/>
    <sheet name="25-25-50" sheetId="19" state="hidden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0" hidden="1">'Arborage B'!$A$1:$M$94</definedName>
    <definedName name="_xlnm._FilterDatabase" localSheetId="4" hidden="1">'Sunshine Place'!$A$1:$DH$1</definedName>
    <definedName name="_xlnm._FilterDatabase" localSheetId="7" hidden="1">'The Arborage'!$A$1:$DD$126</definedName>
    <definedName name="_xlnm.Print_Area" localSheetId="23">'10 (mo 1-23)-2% Bullet'!$A$1:$I$84</definedName>
    <definedName name="_xlnm.Print_Area" localSheetId="24">'10-10-80'!$B$1:$J$54</definedName>
    <definedName name="_xlnm.Print_Area" localSheetId="19">'10-40(24)-50'!$A$1:$J$65</definedName>
    <definedName name="_xlnm.Print_Area" localSheetId="22">'10-90'!$A$1:$G$58</definedName>
    <definedName name="_xlnm.Print_Area" localSheetId="25">'20-40-40'!$B$1:$J$64</definedName>
    <definedName name="_xlnm.Print_Area" localSheetId="26">'25-25-50'!$B$1:$J$59</definedName>
    <definedName name="_xlnm.Print_Area" localSheetId="21">'30-70 (30)'!$B$1:$H$72</definedName>
    <definedName name="_xlnm.Print_Area" localSheetId="18">'30-70 (36)'!$A$1:$I$82</definedName>
    <definedName name="_xlnm.Print_Area" localSheetId="16">'50k MA(23)-2.5%Bullet (ARB B)'!$A$1:$H$62</definedName>
    <definedName name="_xlnm.Print_Area" localSheetId="17">'50k MA(23)-5% Bullet (ARB B)'!$A$1:$J$62</definedName>
    <definedName name="_xlnm.Print_Area" localSheetId="20">'Cash 30'!$A$1:$H$44</definedName>
    <definedName name="_xlnm.Print_Area" localSheetId="15">'Cash 95-5 (For ARB B)'!$A$1:$H$44</definedName>
    <definedName name="_xlnm.Print_Area" localSheetId="8">'Price List'!$1:$215</definedName>
    <definedName name="_xlnm.Print_Area" localSheetId="12">'Summary - All Clusters'!$B$1:$G$181</definedName>
    <definedName name="_xlnm.Print_Area" localSheetId="13">'Summary - Arborage B'!$B:$G</definedName>
    <definedName name="_xlnm.Print_Titles" localSheetId="8">'Price List'!$1:$11</definedName>
  </definedNames>
  <calcPr calcId="162913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75" i="34" l="1"/>
  <c r="C36" i="9" l="1"/>
  <c r="C37" i="9"/>
  <c r="D41" i="36"/>
  <c r="F41" i="36"/>
  <c r="D171" i="36"/>
  <c r="F171" i="36"/>
  <c r="D193" i="36"/>
  <c r="F193" i="36"/>
  <c r="F40" i="36"/>
  <c r="F170" i="36"/>
  <c r="DB28" i="6" l="1"/>
  <c r="B59" i="19"/>
  <c r="D53" i="19"/>
  <c r="B53" i="19"/>
  <c r="B13" i="19"/>
  <c r="B11" i="19"/>
  <c r="B8" i="19"/>
  <c r="B7" i="19"/>
  <c r="B6" i="19"/>
  <c r="B5" i="19"/>
  <c r="B3" i="19"/>
  <c r="C1" i="19"/>
  <c r="B64" i="18"/>
  <c r="D58" i="18"/>
  <c r="B58" i="18"/>
  <c r="B18" i="18"/>
  <c r="B16" i="18"/>
  <c r="B13" i="18"/>
  <c r="B12" i="18"/>
  <c r="B11" i="18"/>
  <c r="B7" i="18"/>
  <c r="B5" i="18"/>
  <c r="B3" i="18"/>
  <c r="C1" i="18"/>
  <c r="B54" i="17"/>
  <c r="D48" i="17"/>
  <c r="B48" i="17"/>
  <c r="B14" i="17"/>
  <c r="B12" i="17"/>
  <c r="B9" i="17"/>
  <c r="B8" i="17"/>
  <c r="B7" i="17"/>
  <c r="B5" i="17"/>
  <c r="B3" i="17"/>
  <c r="C1" i="17"/>
  <c r="B84" i="42"/>
  <c r="D78" i="42"/>
  <c r="B78" i="42"/>
  <c r="C20" i="42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B15" i="42"/>
  <c r="B10" i="42"/>
  <c r="B9" i="42"/>
  <c r="B5" i="42"/>
  <c r="B3" i="42"/>
  <c r="C1" i="42"/>
  <c r="B58" i="26"/>
  <c r="D52" i="26"/>
  <c r="B52" i="26"/>
  <c r="B17" i="26"/>
  <c r="B15" i="26"/>
  <c r="B11" i="26"/>
  <c r="B10" i="26"/>
  <c r="B5" i="26"/>
  <c r="B3" i="26"/>
  <c r="C1" i="26"/>
  <c r="B72" i="16"/>
  <c r="D66" i="16"/>
  <c r="B66" i="16"/>
  <c r="C20" i="16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5" i="16" s="1"/>
  <c r="C36" i="16" s="1"/>
  <c r="C37" i="16" s="1"/>
  <c r="C38" i="16" s="1"/>
  <c r="C39" i="16" s="1"/>
  <c r="C40" i="16" s="1"/>
  <c r="C41" i="16" s="1"/>
  <c r="C42" i="16" s="1"/>
  <c r="C43" i="16" s="1"/>
  <c r="C44" i="16" s="1"/>
  <c r="C45" i="16" s="1"/>
  <c r="C46" i="16" s="1"/>
  <c r="C47" i="16" s="1"/>
  <c r="C48" i="16" s="1"/>
  <c r="C49" i="16" s="1"/>
  <c r="C50" i="16" s="1"/>
  <c r="C51" i="16" s="1"/>
  <c r="B15" i="16"/>
  <c r="B13" i="16"/>
  <c r="S16" i="21" s="1"/>
  <c r="B10" i="16"/>
  <c r="S13" i="21" s="1"/>
  <c r="B9" i="16"/>
  <c r="S12" i="39" s="1"/>
  <c r="B8" i="16"/>
  <c r="S11" i="39" s="1"/>
  <c r="B6" i="16"/>
  <c r="S8" i="34" s="1"/>
  <c r="AA8" i="34" s="1"/>
  <c r="B5" i="16"/>
  <c r="B3" i="16"/>
  <c r="C1" i="16"/>
  <c r="B43" i="8"/>
  <c r="D37" i="8"/>
  <c r="B37" i="8"/>
  <c r="B17" i="8"/>
  <c r="B16" i="8"/>
  <c r="B12" i="8"/>
  <c r="K13" i="21" s="1"/>
  <c r="B11" i="8"/>
  <c r="K12" i="34" s="1"/>
  <c r="B5" i="8"/>
  <c r="B3" i="8"/>
  <c r="C1" i="8"/>
  <c r="B64" i="38"/>
  <c r="B15" i="38"/>
  <c r="B14" i="38"/>
  <c r="B10" i="38"/>
  <c r="B9" i="38"/>
  <c r="B5" i="38"/>
  <c r="B3" i="38"/>
  <c r="C1" i="38"/>
  <c r="B82" i="27"/>
  <c r="D76" i="27"/>
  <c r="B76" i="27"/>
  <c r="C21" i="27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B16" i="27"/>
  <c r="B14" i="27"/>
  <c r="B10" i="27"/>
  <c r="B9" i="27"/>
  <c r="B5" i="27"/>
  <c r="B3" i="27"/>
  <c r="C1" i="27"/>
  <c r="B62" i="40"/>
  <c r="C45" i="40"/>
  <c r="C44" i="40"/>
  <c r="B13" i="40"/>
  <c r="B12" i="40"/>
  <c r="B10" i="40"/>
  <c r="B9" i="40"/>
  <c r="B5" i="40"/>
  <c r="B3" i="40"/>
  <c r="C1" i="40"/>
  <c r="B62" i="41"/>
  <c r="C45" i="41"/>
  <c r="C44" i="41"/>
  <c r="B13" i="41"/>
  <c r="B12" i="41"/>
  <c r="B10" i="41"/>
  <c r="B9" i="41"/>
  <c r="B5" i="41"/>
  <c r="B3" i="41"/>
  <c r="C1" i="41"/>
  <c r="B44" i="32"/>
  <c r="D38" i="32"/>
  <c r="B38" i="32"/>
  <c r="B15" i="32"/>
  <c r="B14" i="32"/>
  <c r="B12" i="32"/>
  <c r="B11" i="32"/>
  <c r="B5" i="32"/>
  <c r="B3" i="32"/>
  <c r="C1" i="32"/>
  <c r="B39" i="37"/>
  <c r="D33" i="37"/>
  <c r="B33" i="37"/>
  <c r="B16" i="37"/>
  <c r="B15" i="37"/>
  <c r="B12" i="37"/>
  <c r="B11" i="37"/>
  <c r="B6" i="37"/>
  <c r="B5" i="37"/>
  <c r="B3" i="37"/>
  <c r="C1" i="37"/>
  <c r="F192" i="36"/>
  <c r="F188" i="36"/>
  <c r="F166" i="36"/>
  <c r="C157" i="36"/>
  <c r="C156" i="36"/>
  <c r="C151" i="36"/>
  <c r="F144" i="36"/>
  <c r="C137" i="36"/>
  <c r="C136" i="36"/>
  <c r="C131" i="36"/>
  <c r="F124" i="36"/>
  <c r="C114" i="36"/>
  <c r="C112" i="36"/>
  <c r="C104" i="36"/>
  <c r="C103" i="36"/>
  <c r="D94" i="36"/>
  <c r="C94" i="36" s="1"/>
  <c r="D93" i="36"/>
  <c r="C93" i="36" s="1"/>
  <c r="D88" i="36"/>
  <c r="C88" i="36" s="1"/>
  <c r="C80" i="36"/>
  <c r="C79" i="36"/>
  <c r="C78" i="36"/>
  <c r="B75" i="36"/>
  <c r="C72" i="36"/>
  <c r="C71" i="36"/>
  <c r="C66" i="36"/>
  <c r="C58" i="36"/>
  <c r="C57" i="36"/>
  <c r="D56" i="36"/>
  <c r="C56" i="36" s="1"/>
  <c r="B52" i="36"/>
  <c r="F44" i="36"/>
  <c r="F36" i="36"/>
  <c r="F24" i="36"/>
  <c r="C16" i="36"/>
  <c r="C15" i="36"/>
  <c r="C8" i="36"/>
  <c r="C5" i="36"/>
  <c r="C4" i="36"/>
  <c r="C3" i="36"/>
  <c r="C2" i="36"/>
  <c r="H75" i="21"/>
  <c r="BA73" i="21"/>
  <c r="AS73" i="21"/>
  <c r="AK73" i="21"/>
  <c r="AF73" i="21"/>
  <c r="AC73" i="21"/>
  <c r="X73" i="21"/>
  <c r="U73" i="21"/>
  <c r="P73" i="21"/>
  <c r="O73" i="21"/>
  <c r="M73" i="21"/>
  <c r="H73" i="21"/>
  <c r="G73" i="21"/>
  <c r="F73" i="21"/>
  <c r="E73" i="21"/>
  <c r="D73" i="21"/>
  <c r="BE72" i="21"/>
  <c r="AZ72" i="21"/>
  <c r="AW72" i="21"/>
  <c r="AR72" i="21"/>
  <c r="AO72" i="21"/>
  <c r="AG72" i="21"/>
  <c r="AB72" i="21"/>
  <c r="Y72" i="21"/>
  <c r="Q72" i="21"/>
  <c r="K72" i="21"/>
  <c r="H72" i="21"/>
  <c r="BE71" i="21"/>
  <c r="AZ71" i="21"/>
  <c r="AW71" i="21"/>
  <c r="AR71" i="21"/>
  <c r="AO71" i="21"/>
  <c r="AG71" i="21"/>
  <c r="AB71" i="21"/>
  <c r="Y71" i="21"/>
  <c r="Q71" i="21"/>
  <c r="K71" i="21"/>
  <c r="H71" i="21"/>
  <c r="K70" i="21"/>
  <c r="H70" i="21"/>
  <c r="K69" i="21"/>
  <c r="H69" i="21"/>
  <c r="K68" i="21"/>
  <c r="H68" i="21"/>
  <c r="K67" i="21"/>
  <c r="H67" i="21"/>
  <c r="K66" i="21"/>
  <c r="H66" i="21"/>
  <c r="K65" i="21"/>
  <c r="H65" i="21"/>
  <c r="BE64" i="21"/>
  <c r="AZ64" i="21"/>
  <c r="AW64" i="21"/>
  <c r="AR64" i="21"/>
  <c r="AO64" i="21"/>
  <c r="AB64" i="21"/>
  <c r="Y64" i="21"/>
  <c r="Q64" i="21"/>
  <c r="H64" i="21"/>
  <c r="BE63" i="21"/>
  <c r="AZ63" i="21"/>
  <c r="AW63" i="21"/>
  <c r="AR63" i="21"/>
  <c r="AO63" i="21"/>
  <c r="AB63" i="21"/>
  <c r="Y63" i="21"/>
  <c r="Q63" i="21"/>
  <c r="H63" i="21"/>
  <c r="BE62" i="21"/>
  <c r="AZ62" i="21"/>
  <c r="AW62" i="21"/>
  <c r="AR62" i="21"/>
  <c r="AO62" i="21"/>
  <c r="AB62" i="21"/>
  <c r="Y62" i="21"/>
  <c r="Q62" i="21"/>
  <c r="H62" i="21"/>
  <c r="BE61" i="21"/>
  <c r="AZ61" i="21"/>
  <c r="AW61" i="21"/>
  <c r="AR61" i="21"/>
  <c r="AO61" i="21"/>
  <c r="AB61" i="21"/>
  <c r="Y61" i="21"/>
  <c r="Q61" i="21"/>
  <c r="H61" i="21"/>
  <c r="BE60" i="21"/>
  <c r="AZ60" i="21"/>
  <c r="AW60" i="21"/>
  <c r="AR60" i="21"/>
  <c r="AO60" i="21"/>
  <c r="AB60" i="21"/>
  <c r="Y60" i="21"/>
  <c r="Q60" i="21"/>
  <c r="H60" i="21"/>
  <c r="BE59" i="21"/>
  <c r="AZ59" i="21"/>
  <c r="AW59" i="21"/>
  <c r="AR59" i="21"/>
  <c r="AO59" i="21"/>
  <c r="AB59" i="21"/>
  <c r="Y59" i="21"/>
  <c r="Q59" i="21"/>
  <c r="H59" i="21"/>
  <c r="BE58" i="21"/>
  <c r="AZ58" i="21"/>
  <c r="AW58" i="21"/>
  <c r="AR58" i="21"/>
  <c r="AO58" i="21"/>
  <c r="AB58" i="21"/>
  <c r="Q58" i="21"/>
  <c r="H58" i="21"/>
  <c r="BE57" i="21"/>
  <c r="AZ57" i="21"/>
  <c r="AW57" i="21"/>
  <c r="AR57" i="21"/>
  <c r="AO57" i="21"/>
  <c r="AB57" i="21"/>
  <c r="Q57" i="21"/>
  <c r="H57" i="21"/>
  <c r="BE56" i="21"/>
  <c r="AZ56" i="21"/>
  <c r="AW56" i="21"/>
  <c r="AR56" i="21"/>
  <c r="AO56" i="21"/>
  <c r="AB56" i="21"/>
  <c r="Q56" i="21"/>
  <c r="H56" i="21"/>
  <c r="BE55" i="21"/>
  <c r="AZ55" i="21"/>
  <c r="AW55" i="21"/>
  <c r="AR55" i="21"/>
  <c r="AO55" i="21"/>
  <c r="AB55" i="21"/>
  <c r="Q55" i="21"/>
  <c r="H55" i="21"/>
  <c r="BE54" i="21"/>
  <c r="AZ54" i="21"/>
  <c r="AW54" i="21"/>
  <c r="AR54" i="21"/>
  <c r="AO54" i="21"/>
  <c r="AB54" i="21"/>
  <c r="Q54" i="21"/>
  <c r="H54" i="21"/>
  <c r="BE53" i="21"/>
  <c r="AZ53" i="21"/>
  <c r="AR53" i="21"/>
  <c r="AO53" i="21"/>
  <c r="AB53" i="21"/>
  <c r="Q53" i="21"/>
  <c r="H53" i="21"/>
  <c r="BE52" i="21"/>
  <c r="AZ52" i="21"/>
  <c r="AR52" i="21"/>
  <c r="AO52" i="21"/>
  <c r="AB52" i="21"/>
  <c r="Q52" i="21"/>
  <c r="H52" i="21"/>
  <c r="AZ51" i="21"/>
  <c r="AR51" i="21"/>
  <c r="AO51" i="21"/>
  <c r="AB51" i="21"/>
  <c r="Q51" i="21"/>
  <c r="H51" i="21"/>
  <c r="AZ50" i="21"/>
  <c r="AR50" i="21"/>
  <c r="AO50" i="21"/>
  <c r="AB50" i="21"/>
  <c r="Q50" i="21"/>
  <c r="H50" i="21"/>
  <c r="AZ49" i="21"/>
  <c r="AR49" i="21"/>
  <c r="AO49" i="21"/>
  <c r="AB49" i="21"/>
  <c r="Q49" i="21"/>
  <c r="H49" i="21"/>
  <c r="AZ48" i="21"/>
  <c r="AR48" i="21"/>
  <c r="AO48" i="21"/>
  <c r="AB48" i="21"/>
  <c r="Q48" i="21"/>
  <c r="H48" i="21"/>
  <c r="AZ47" i="21"/>
  <c r="AR47" i="21"/>
  <c r="AB47" i="21"/>
  <c r="Q47" i="21"/>
  <c r="H47" i="21"/>
  <c r="AZ46" i="21"/>
  <c r="AR46" i="21"/>
  <c r="AO46" i="21"/>
  <c r="AB46" i="21"/>
  <c r="Q46" i="21"/>
  <c r="H46" i="21"/>
  <c r="AZ45" i="21"/>
  <c r="AR45" i="21"/>
  <c r="AO45" i="21"/>
  <c r="AB45" i="21"/>
  <c r="Q45" i="21"/>
  <c r="H45" i="21"/>
  <c r="AZ44" i="21"/>
  <c r="AR44" i="21"/>
  <c r="AO44" i="21"/>
  <c r="AB44" i="21"/>
  <c r="Q44" i="21"/>
  <c r="H44" i="21"/>
  <c r="AZ43" i="21"/>
  <c r="AR43" i="21"/>
  <c r="AO43" i="21"/>
  <c r="AB43" i="21"/>
  <c r="Q43" i="21"/>
  <c r="H43" i="21"/>
  <c r="AZ42" i="21"/>
  <c r="AR42" i="21"/>
  <c r="AO42" i="21"/>
  <c r="AB42" i="21"/>
  <c r="Q42" i="21"/>
  <c r="H42" i="21"/>
  <c r="AZ41" i="21"/>
  <c r="AR41" i="21"/>
  <c r="AO41" i="21"/>
  <c r="AB41" i="21"/>
  <c r="Q41" i="21"/>
  <c r="H41" i="21"/>
  <c r="AZ40" i="21"/>
  <c r="AR40" i="21"/>
  <c r="AB40" i="21"/>
  <c r="Q40" i="21"/>
  <c r="H40" i="21"/>
  <c r="AZ39" i="21"/>
  <c r="AR39" i="21"/>
  <c r="AB39" i="21"/>
  <c r="Q39" i="21"/>
  <c r="H39" i="21"/>
  <c r="AZ38" i="21"/>
  <c r="AR38" i="21"/>
  <c r="AB38" i="21"/>
  <c r="Q38" i="21"/>
  <c r="H38" i="21"/>
  <c r="AZ37" i="21"/>
  <c r="AR37" i="21"/>
  <c r="AB37" i="21"/>
  <c r="Q37" i="21"/>
  <c r="H37" i="21"/>
  <c r="AZ36" i="21"/>
  <c r="AR36" i="21"/>
  <c r="AB36" i="21"/>
  <c r="Q36" i="21"/>
  <c r="H36" i="21"/>
  <c r="AZ35" i="21"/>
  <c r="AR35" i="21"/>
  <c r="AB35" i="21"/>
  <c r="Q35" i="21"/>
  <c r="H35" i="21"/>
  <c r="AZ34" i="21"/>
  <c r="AR34" i="21"/>
  <c r="AB34" i="21"/>
  <c r="Q34" i="21"/>
  <c r="H34" i="21"/>
  <c r="AZ33" i="21"/>
  <c r="AR33" i="21"/>
  <c r="AB33" i="21"/>
  <c r="Q33" i="21"/>
  <c r="H33" i="21"/>
  <c r="AZ32" i="21"/>
  <c r="AR32" i="21"/>
  <c r="AB32" i="21"/>
  <c r="Q32" i="21"/>
  <c r="H32" i="21"/>
  <c r="AZ31" i="21"/>
  <c r="AR31" i="21"/>
  <c r="AB31" i="21"/>
  <c r="Q31" i="21"/>
  <c r="H31" i="21"/>
  <c r="AZ30" i="21"/>
  <c r="AR30" i="21"/>
  <c r="AB30" i="21"/>
  <c r="Q30" i="21"/>
  <c r="H30" i="21"/>
  <c r="AZ29" i="21"/>
  <c r="AR29" i="21"/>
  <c r="AB29" i="21"/>
  <c r="Q29" i="21"/>
  <c r="H29" i="21"/>
  <c r="AZ28" i="21"/>
  <c r="AR28" i="21"/>
  <c r="AB28" i="21"/>
  <c r="H28" i="21"/>
  <c r="BE27" i="21"/>
  <c r="AZ27" i="21"/>
  <c r="AW27" i="21"/>
  <c r="AR27" i="21"/>
  <c r="AO27" i="21"/>
  <c r="AG27" i="21"/>
  <c r="AB27" i="21"/>
  <c r="Y27" i="21"/>
  <c r="Q27" i="21"/>
  <c r="H27" i="21"/>
  <c r="C27" i="21"/>
  <c r="T27" i="21" s="1"/>
  <c r="T28" i="21" s="1"/>
  <c r="T29" i="21" s="1"/>
  <c r="T30" i="21" s="1"/>
  <c r="T31" i="21" s="1"/>
  <c r="T32" i="21" s="1"/>
  <c r="T33" i="21" s="1"/>
  <c r="T34" i="21" s="1"/>
  <c r="T35" i="21" s="1"/>
  <c r="T36" i="21" s="1"/>
  <c r="T37" i="21" s="1"/>
  <c r="T38" i="21" s="1"/>
  <c r="T39" i="21" s="1"/>
  <c r="T40" i="21" s="1"/>
  <c r="T41" i="21" s="1"/>
  <c r="T42" i="21" s="1"/>
  <c r="T43" i="21" s="1"/>
  <c r="T44" i="21" s="1"/>
  <c r="T45" i="21" s="1"/>
  <c r="T46" i="21" s="1"/>
  <c r="T47" i="21" s="1"/>
  <c r="T48" i="21" s="1"/>
  <c r="T49" i="21" s="1"/>
  <c r="T50" i="21" s="1"/>
  <c r="T51" i="21" s="1"/>
  <c r="T52" i="21" s="1"/>
  <c r="T53" i="21" s="1"/>
  <c r="T54" i="21" s="1"/>
  <c r="T55" i="21" s="1"/>
  <c r="T56" i="21" s="1"/>
  <c r="T57" i="21" s="1"/>
  <c r="T58" i="21" s="1"/>
  <c r="T59" i="21" s="1"/>
  <c r="T60" i="21" s="1"/>
  <c r="T61" i="21" s="1"/>
  <c r="T62" i="21" s="1"/>
  <c r="T63" i="21" s="1"/>
  <c r="T64" i="21" s="1"/>
  <c r="T71" i="21" s="1"/>
  <c r="T72" i="21" s="1"/>
  <c r="D24" i="21"/>
  <c r="B16" i="21"/>
  <c r="K16" i="21" s="1"/>
  <c r="B13" i="21"/>
  <c r="B12" i="21"/>
  <c r="K11" i="21"/>
  <c r="B11" i="21"/>
  <c r="BA9" i="21"/>
  <c r="AS9" i="21"/>
  <c r="AK9" i="21"/>
  <c r="AQ8" i="21"/>
  <c r="K8" i="21"/>
  <c r="B8" i="21"/>
  <c r="C4" i="21"/>
  <c r="C3" i="21"/>
  <c r="C2" i="21"/>
  <c r="H75" i="34"/>
  <c r="AF73" i="34"/>
  <c r="AC73" i="34"/>
  <c r="X73" i="34"/>
  <c r="U73" i="34"/>
  <c r="P73" i="34"/>
  <c r="O73" i="34"/>
  <c r="M73" i="34"/>
  <c r="H73" i="34"/>
  <c r="G73" i="34"/>
  <c r="F73" i="34"/>
  <c r="E73" i="34"/>
  <c r="D73" i="34"/>
  <c r="AG72" i="34"/>
  <c r="Y72" i="34"/>
  <c r="Q72" i="34"/>
  <c r="K72" i="34"/>
  <c r="H72" i="34"/>
  <c r="AG71" i="34"/>
  <c r="Y71" i="34"/>
  <c r="Q71" i="34"/>
  <c r="K71" i="34"/>
  <c r="H71" i="34"/>
  <c r="K70" i="34"/>
  <c r="H70" i="34"/>
  <c r="K69" i="34"/>
  <c r="H69" i="34"/>
  <c r="K68" i="34"/>
  <c r="H68" i="34"/>
  <c r="K67" i="34"/>
  <c r="H67" i="34"/>
  <c r="K66" i="34"/>
  <c r="H66" i="34"/>
  <c r="K65" i="34"/>
  <c r="H65" i="34"/>
  <c r="AG64" i="34"/>
  <c r="Q64" i="34"/>
  <c r="H64" i="34"/>
  <c r="AG63" i="34"/>
  <c r="Q63" i="34"/>
  <c r="H63" i="34"/>
  <c r="AG62" i="34"/>
  <c r="Q62" i="34"/>
  <c r="H62" i="34"/>
  <c r="AG61" i="34"/>
  <c r="Q61" i="34"/>
  <c r="H61" i="34"/>
  <c r="AG60" i="34"/>
  <c r="Q60" i="34"/>
  <c r="H60" i="34"/>
  <c r="AG59" i="34"/>
  <c r="Q59" i="34"/>
  <c r="H59" i="34"/>
  <c r="AG58" i="34"/>
  <c r="Q58" i="34"/>
  <c r="H58" i="34"/>
  <c r="AG57" i="34"/>
  <c r="Q57" i="34"/>
  <c r="H57" i="34"/>
  <c r="AG56" i="34"/>
  <c r="Q56" i="34"/>
  <c r="H56" i="34"/>
  <c r="AG55" i="34"/>
  <c r="Q55" i="34"/>
  <c r="H55" i="34"/>
  <c r="AG54" i="34"/>
  <c r="Q54" i="34"/>
  <c r="H54" i="34"/>
  <c r="Q53" i="34"/>
  <c r="H53" i="34"/>
  <c r="Q52" i="34"/>
  <c r="H52" i="34"/>
  <c r="Q51" i="34"/>
  <c r="H51" i="34"/>
  <c r="Q50" i="34"/>
  <c r="H50" i="34"/>
  <c r="Q49" i="34"/>
  <c r="H49" i="34"/>
  <c r="Q48" i="34"/>
  <c r="H48" i="34"/>
  <c r="Q47" i="34"/>
  <c r="H47" i="34"/>
  <c r="Q46" i="34"/>
  <c r="H46" i="34"/>
  <c r="Q45" i="34"/>
  <c r="H45" i="34"/>
  <c r="Q44" i="34"/>
  <c r="H44" i="34"/>
  <c r="Q43" i="34"/>
  <c r="H43" i="34"/>
  <c r="Q42" i="34"/>
  <c r="H42" i="34"/>
  <c r="Q41" i="34"/>
  <c r="H41" i="34"/>
  <c r="Q40" i="34"/>
  <c r="H40" i="34"/>
  <c r="Q39" i="34"/>
  <c r="H39" i="34"/>
  <c r="Q38" i="34"/>
  <c r="H38" i="34"/>
  <c r="Q37" i="34"/>
  <c r="H37" i="34"/>
  <c r="Q36" i="34"/>
  <c r="H36" i="34"/>
  <c r="Q35" i="34"/>
  <c r="H35" i="34"/>
  <c r="Q34" i="34"/>
  <c r="H34" i="34"/>
  <c r="Q33" i="34"/>
  <c r="H33" i="34"/>
  <c r="Q32" i="34"/>
  <c r="H32" i="34"/>
  <c r="Q31" i="34"/>
  <c r="H31" i="34"/>
  <c r="Q30" i="34"/>
  <c r="H30" i="34"/>
  <c r="H29" i="34"/>
  <c r="H28" i="34"/>
  <c r="AG27" i="34"/>
  <c r="Y27" i="34"/>
  <c r="Q27" i="34"/>
  <c r="H27" i="34"/>
  <c r="C27" i="34"/>
  <c r="AB27" i="34" s="1"/>
  <c r="AB28" i="34" s="1"/>
  <c r="AB29" i="34" s="1"/>
  <c r="AB30" i="34" s="1"/>
  <c r="AB31" i="34" s="1"/>
  <c r="AB32" i="34" s="1"/>
  <c r="AB33" i="34" s="1"/>
  <c r="AB34" i="34" s="1"/>
  <c r="AB35" i="34" s="1"/>
  <c r="AB36" i="34" s="1"/>
  <c r="AB37" i="34" s="1"/>
  <c r="AB38" i="34" s="1"/>
  <c r="AB39" i="34" s="1"/>
  <c r="AB40" i="34" s="1"/>
  <c r="AB41" i="34" s="1"/>
  <c r="AB42" i="34" s="1"/>
  <c r="AB43" i="34" s="1"/>
  <c r="AB44" i="34" s="1"/>
  <c r="AB45" i="34" s="1"/>
  <c r="AB46" i="34" s="1"/>
  <c r="AB47" i="34" s="1"/>
  <c r="AB48" i="34" s="1"/>
  <c r="AB49" i="34" s="1"/>
  <c r="AB50" i="34" s="1"/>
  <c r="AB51" i="34" s="1"/>
  <c r="AB52" i="34" s="1"/>
  <c r="AB53" i="34" s="1"/>
  <c r="AB54" i="34" s="1"/>
  <c r="AB55" i="34" s="1"/>
  <c r="AB56" i="34" s="1"/>
  <c r="AB57" i="34" s="1"/>
  <c r="AB58" i="34" s="1"/>
  <c r="AB59" i="34" s="1"/>
  <c r="AB60" i="34" s="1"/>
  <c r="AB61" i="34" s="1"/>
  <c r="AB62" i="34" s="1"/>
  <c r="AB63" i="34" s="1"/>
  <c r="AB64" i="34" s="1"/>
  <c r="AB71" i="34" s="1"/>
  <c r="AB72" i="34" s="1"/>
  <c r="D24" i="34"/>
  <c r="B16" i="34"/>
  <c r="K16" i="34" s="1"/>
  <c r="B13" i="34"/>
  <c r="B12" i="34"/>
  <c r="K11" i="34"/>
  <c r="B11" i="34"/>
  <c r="AC9" i="34"/>
  <c r="K8" i="34"/>
  <c r="B8" i="34"/>
  <c r="C4" i="34"/>
  <c r="C3" i="34"/>
  <c r="C2" i="34"/>
  <c r="H75" i="39"/>
  <c r="AT73" i="39"/>
  <c r="AS73" i="39"/>
  <c r="AL73" i="39"/>
  <c r="AK73" i="39"/>
  <c r="AF73" i="39"/>
  <c r="AC73" i="39"/>
  <c r="X73" i="39"/>
  <c r="U73" i="39"/>
  <c r="P73" i="39"/>
  <c r="O73" i="39"/>
  <c r="M73" i="39"/>
  <c r="H73" i="39"/>
  <c r="G73" i="39"/>
  <c r="F73" i="39"/>
  <c r="E73" i="39"/>
  <c r="D73" i="39"/>
  <c r="AW72" i="39"/>
  <c r="AR72" i="39"/>
  <c r="AO72" i="39"/>
  <c r="AJ72" i="39"/>
  <c r="AG72" i="39"/>
  <c r="Y72" i="39"/>
  <c r="Q72" i="39"/>
  <c r="K72" i="39"/>
  <c r="H72" i="39"/>
  <c r="AW71" i="39"/>
  <c r="AR71" i="39"/>
  <c r="AO71" i="39"/>
  <c r="AJ71" i="39"/>
  <c r="AG71" i="39"/>
  <c r="Y71" i="39"/>
  <c r="Q71" i="39"/>
  <c r="K71" i="39"/>
  <c r="H71" i="39"/>
  <c r="AW70" i="39"/>
  <c r="AR70" i="39"/>
  <c r="AO70" i="39"/>
  <c r="AJ70" i="39"/>
  <c r="AG70" i="39"/>
  <c r="K70" i="39"/>
  <c r="H70" i="39"/>
  <c r="AW69" i="39"/>
  <c r="AR69" i="39"/>
  <c r="AO69" i="39"/>
  <c r="AJ69" i="39"/>
  <c r="AG69" i="39"/>
  <c r="K69" i="39"/>
  <c r="H69" i="39"/>
  <c r="AW68" i="39"/>
  <c r="AR68" i="39"/>
  <c r="AO68" i="39"/>
  <c r="AJ68" i="39"/>
  <c r="AG68" i="39"/>
  <c r="K68" i="39"/>
  <c r="H68" i="39"/>
  <c r="AW67" i="39"/>
  <c r="AR67" i="39"/>
  <c r="AO67" i="39"/>
  <c r="AJ67" i="39"/>
  <c r="AG67" i="39"/>
  <c r="K67" i="39"/>
  <c r="H67" i="39"/>
  <c r="AW66" i="39"/>
  <c r="AR66" i="39"/>
  <c r="AO66" i="39"/>
  <c r="AJ66" i="39"/>
  <c r="AG66" i="39"/>
  <c r="K66" i="39"/>
  <c r="H66" i="39"/>
  <c r="AW65" i="39"/>
  <c r="AR65" i="39"/>
  <c r="AO65" i="39"/>
  <c r="AJ65" i="39"/>
  <c r="AG65" i="39"/>
  <c r="K65" i="39"/>
  <c r="H65" i="39"/>
  <c r="AW64" i="39"/>
  <c r="AR64" i="39"/>
  <c r="AO64" i="39"/>
  <c r="AJ64" i="39"/>
  <c r="AG64" i="39"/>
  <c r="Q64" i="39"/>
  <c r="H64" i="39"/>
  <c r="AW63" i="39"/>
  <c r="AR63" i="39"/>
  <c r="AO63" i="39"/>
  <c r="AJ63" i="39"/>
  <c r="AG63" i="39"/>
  <c r="Q63" i="39"/>
  <c r="H63" i="39"/>
  <c r="AW62" i="39"/>
  <c r="AR62" i="39"/>
  <c r="AO62" i="39"/>
  <c r="AJ62" i="39"/>
  <c r="AG62" i="39"/>
  <c r="Q62" i="39"/>
  <c r="H62" i="39"/>
  <c r="AW61" i="39"/>
  <c r="AR61" i="39"/>
  <c r="AO61" i="39"/>
  <c r="AJ61" i="39"/>
  <c r="AG61" i="39"/>
  <c r="Q61" i="39"/>
  <c r="H61" i="39"/>
  <c r="AW60" i="39"/>
  <c r="AR60" i="39"/>
  <c r="AO60" i="39"/>
  <c r="AJ60" i="39"/>
  <c r="AG60" i="39"/>
  <c r="Q60" i="39"/>
  <c r="H60" i="39"/>
  <c r="AW59" i="39"/>
  <c r="AR59" i="39"/>
  <c r="AO59" i="39"/>
  <c r="AJ59" i="39"/>
  <c r="AG59" i="39"/>
  <c r="Q59" i="39"/>
  <c r="H59" i="39"/>
  <c r="AW58" i="39"/>
  <c r="AR58" i="39"/>
  <c r="AO58" i="39"/>
  <c r="AJ58" i="39"/>
  <c r="AG58" i="39"/>
  <c r="Q58" i="39"/>
  <c r="H58" i="39"/>
  <c r="AW57" i="39"/>
  <c r="AR57" i="39"/>
  <c r="AO57" i="39"/>
  <c r="AJ57" i="39"/>
  <c r="AG57" i="39"/>
  <c r="Q57" i="39"/>
  <c r="H57" i="39"/>
  <c r="AW56" i="39"/>
  <c r="AR56" i="39"/>
  <c r="AO56" i="39"/>
  <c r="AJ56" i="39"/>
  <c r="AG56" i="39"/>
  <c r="Q56" i="39"/>
  <c r="H56" i="39"/>
  <c r="AW55" i="39"/>
  <c r="AR55" i="39"/>
  <c r="AO55" i="39"/>
  <c r="AJ55" i="39"/>
  <c r="AG55" i="39"/>
  <c r="Q55" i="39"/>
  <c r="H55" i="39"/>
  <c r="AW54" i="39"/>
  <c r="AR54" i="39"/>
  <c r="AO54" i="39"/>
  <c r="AJ54" i="39"/>
  <c r="AG54" i="39"/>
  <c r="Q54" i="39"/>
  <c r="H54" i="39"/>
  <c r="AW53" i="39"/>
  <c r="AR53" i="39"/>
  <c r="AO53" i="39"/>
  <c r="AJ53" i="39"/>
  <c r="Q53" i="39"/>
  <c r="H53" i="39"/>
  <c r="AW52" i="39"/>
  <c r="AR52" i="39"/>
  <c r="AO52" i="39"/>
  <c r="AJ52" i="39"/>
  <c r="Q52" i="39"/>
  <c r="H52" i="39"/>
  <c r="AR51" i="39"/>
  <c r="AJ51" i="39"/>
  <c r="Q51" i="39"/>
  <c r="H51" i="39"/>
  <c r="AW50" i="39"/>
  <c r="AT50" i="39"/>
  <c r="AR50" i="39"/>
  <c r="AO50" i="39"/>
  <c r="AL50" i="39"/>
  <c r="AJ50" i="39"/>
  <c r="Q50" i="39"/>
  <c r="H50" i="39"/>
  <c r="AW49" i="39"/>
  <c r="AT49" i="39"/>
  <c r="AR49" i="39"/>
  <c r="AO49" i="39"/>
  <c r="AL49" i="39"/>
  <c r="AJ49" i="39"/>
  <c r="Q49" i="39"/>
  <c r="H49" i="39"/>
  <c r="AW48" i="39"/>
  <c r="AT48" i="39"/>
  <c r="AR48" i="39"/>
  <c r="AO48" i="39"/>
  <c r="AL48" i="39"/>
  <c r="AJ48" i="39"/>
  <c r="Q48" i="39"/>
  <c r="H48" i="39"/>
  <c r="AW47" i="39"/>
  <c r="AT47" i="39"/>
  <c r="AR47" i="39"/>
  <c r="AO47" i="39"/>
  <c r="AL47" i="39"/>
  <c r="AJ47" i="39"/>
  <c r="Q47" i="39"/>
  <c r="H47" i="39"/>
  <c r="AW46" i="39"/>
  <c r="AT46" i="39"/>
  <c r="AR46" i="39"/>
  <c r="AO46" i="39"/>
  <c r="AL46" i="39"/>
  <c r="AJ46" i="39"/>
  <c r="Q46" i="39"/>
  <c r="H46" i="39"/>
  <c r="AR45" i="39"/>
  <c r="AO45" i="39"/>
  <c r="AL45" i="39"/>
  <c r="AJ45" i="39"/>
  <c r="Q45" i="39"/>
  <c r="H45" i="39"/>
  <c r="AW44" i="39"/>
  <c r="AT44" i="39"/>
  <c r="AR44" i="39"/>
  <c r="AO44" i="39"/>
  <c r="AL44" i="39"/>
  <c r="AJ44" i="39"/>
  <c r="Q44" i="39"/>
  <c r="H44" i="39"/>
  <c r="AW43" i="39"/>
  <c r="AT43" i="39"/>
  <c r="AR43" i="39"/>
  <c r="AO43" i="39"/>
  <c r="AL43" i="39"/>
  <c r="AJ43" i="39"/>
  <c r="Q43" i="39"/>
  <c r="H43" i="39"/>
  <c r="AW42" i="39"/>
  <c r="AT42" i="39"/>
  <c r="AR42" i="39"/>
  <c r="AO42" i="39"/>
  <c r="AL42" i="39"/>
  <c r="AJ42" i="39"/>
  <c r="Q42" i="39"/>
  <c r="H42" i="39"/>
  <c r="AW41" i="39"/>
  <c r="AT41" i="39"/>
  <c r="AR41" i="39"/>
  <c r="AO41" i="39"/>
  <c r="AL41" i="39"/>
  <c r="AJ41" i="39"/>
  <c r="Q41" i="39"/>
  <c r="H41" i="39"/>
  <c r="AW40" i="39"/>
  <c r="AT40" i="39"/>
  <c r="AR40" i="39"/>
  <c r="AO40" i="39"/>
  <c r="AL40" i="39"/>
  <c r="AJ40" i="39"/>
  <c r="Q40" i="39"/>
  <c r="H40" i="39"/>
  <c r="AR39" i="39"/>
  <c r="AJ39" i="39"/>
  <c r="Q39" i="39"/>
  <c r="H39" i="39"/>
  <c r="AW38" i="39"/>
  <c r="AT38" i="39"/>
  <c r="AR38" i="39"/>
  <c r="AO38" i="39"/>
  <c r="AL38" i="39"/>
  <c r="AJ38" i="39"/>
  <c r="Q38" i="39"/>
  <c r="H38" i="39"/>
  <c r="AW37" i="39"/>
  <c r="AT37" i="39"/>
  <c r="AR37" i="39"/>
  <c r="AO37" i="39"/>
  <c r="AL37" i="39"/>
  <c r="AJ37" i="39"/>
  <c r="Q37" i="39"/>
  <c r="H37" i="39"/>
  <c r="AW36" i="39"/>
  <c r="AT36" i="39"/>
  <c r="AR36" i="39"/>
  <c r="AO36" i="39"/>
  <c r="AL36" i="39"/>
  <c r="AJ36" i="39"/>
  <c r="Q36" i="39"/>
  <c r="H36" i="39"/>
  <c r="AW35" i="39"/>
  <c r="AT35" i="39"/>
  <c r="AR35" i="39"/>
  <c r="AO35" i="39"/>
  <c r="AL35" i="39"/>
  <c r="AJ35" i="39"/>
  <c r="Q35" i="39"/>
  <c r="H35" i="39"/>
  <c r="AW34" i="39"/>
  <c r="AT34" i="39"/>
  <c r="AR34" i="39"/>
  <c r="AO34" i="39"/>
  <c r="AL34" i="39"/>
  <c r="AJ34" i="39"/>
  <c r="Q34" i="39"/>
  <c r="H34" i="39"/>
  <c r="AR33" i="39"/>
  <c r="AO33" i="39"/>
  <c r="AL33" i="39"/>
  <c r="AJ33" i="39"/>
  <c r="Q33" i="39"/>
  <c r="H33" i="39"/>
  <c r="AW32" i="39"/>
  <c r="AT32" i="39"/>
  <c r="AR32" i="39"/>
  <c r="AO32" i="39"/>
  <c r="AL32" i="39"/>
  <c r="AJ32" i="39"/>
  <c r="Q32" i="39"/>
  <c r="H32" i="39"/>
  <c r="AW31" i="39"/>
  <c r="AT31" i="39"/>
  <c r="AR31" i="39"/>
  <c r="AO31" i="39"/>
  <c r="AL31" i="39"/>
  <c r="AJ31" i="39"/>
  <c r="Q31" i="39"/>
  <c r="H31" i="39"/>
  <c r="AW30" i="39"/>
  <c r="AT30" i="39"/>
  <c r="AR30" i="39"/>
  <c r="AO30" i="39"/>
  <c r="AL30" i="39"/>
  <c r="AJ30" i="39"/>
  <c r="Q30" i="39"/>
  <c r="H30" i="39"/>
  <c r="AW29" i="39"/>
  <c r="AT29" i="39"/>
  <c r="AR29" i="39"/>
  <c r="AO29" i="39"/>
  <c r="AL29" i="39"/>
  <c r="AJ29" i="39"/>
  <c r="H29" i="39"/>
  <c r="AW28" i="39"/>
  <c r="AR28" i="39"/>
  <c r="AO28" i="39"/>
  <c r="AJ28" i="39"/>
  <c r="H28" i="39"/>
  <c r="AW27" i="39"/>
  <c r="AR27" i="39"/>
  <c r="AO27" i="39"/>
  <c r="AJ27" i="39"/>
  <c r="AG27" i="39"/>
  <c r="Y27" i="39"/>
  <c r="Q27" i="39"/>
  <c r="H27" i="39"/>
  <c r="C27" i="39"/>
  <c r="L27" i="39" s="1"/>
  <c r="L28" i="39" s="1"/>
  <c r="L29" i="39" s="1"/>
  <c r="L30" i="39" s="1"/>
  <c r="L31" i="39" s="1"/>
  <c r="L32" i="39" s="1"/>
  <c r="L33" i="39" s="1"/>
  <c r="L34" i="39" s="1"/>
  <c r="L35" i="39" s="1"/>
  <c r="L36" i="39" s="1"/>
  <c r="L37" i="39" s="1"/>
  <c r="L38" i="39" s="1"/>
  <c r="L39" i="39" s="1"/>
  <c r="L40" i="39" s="1"/>
  <c r="L41" i="39" s="1"/>
  <c r="L42" i="39" s="1"/>
  <c r="L43" i="39" s="1"/>
  <c r="L44" i="39" s="1"/>
  <c r="L45" i="39" s="1"/>
  <c r="L46" i="39" s="1"/>
  <c r="L47" i="39" s="1"/>
  <c r="L48" i="39" s="1"/>
  <c r="L49" i="39" s="1"/>
  <c r="L50" i="39" s="1"/>
  <c r="L51" i="39" s="1"/>
  <c r="L52" i="39" s="1"/>
  <c r="L53" i="39" s="1"/>
  <c r="L54" i="39" s="1"/>
  <c r="L55" i="39" s="1"/>
  <c r="L56" i="39" s="1"/>
  <c r="L57" i="39" s="1"/>
  <c r="L58" i="39" s="1"/>
  <c r="L59" i="39" s="1"/>
  <c r="L60" i="39" s="1"/>
  <c r="L61" i="39" s="1"/>
  <c r="L62" i="39" s="1"/>
  <c r="L63" i="39" s="1"/>
  <c r="L64" i="39" s="1"/>
  <c r="D24" i="39"/>
  <c r="B16" i="39"/>
  <c r="K16" i="39" s="1"/>
  <c r="B13" i="39"/>
  <c r="B12" i="39"/>
  <c r="K11" i="39"/>
  <c r="B11" i="39"/>
  <c r="AS9" i="39"/>
  <c r="AK9" i="39"/>
  <c r="AC9" i="39"/>
  <c r="K8" i="39"/>
  <c r="B8" i="39"/>
  <c r="C4" i="39"/>
  <c r="C3" i="39"/>
  <c r="C2" i="39"/>
  <c r="F150" i="9"/>
  <c r="C141" i="9"/>
  <c r="C140" i="9"/>
  <c r="C135" i="9"/>
  <c r="F126" i="9"/>
  <c r="C119" i="9"/>
  <c r="C118" i="9"/>
  <c r="C113" i="9"/>
  <c r="F104" i="9"/>
  <c r="C94" i="9"/>
  <c r="C92" i="9"/>
  <c r="F83" i="9"/>
  <c r="D74" i="9"/>
  <c r="C74" i="9" s="1"/>
  <c r="D73" i="9"/>
  <c r="D68" i="9"/>
  <c r="C68" i="9" s="1"/>
  <c r="C59" i="9"/>
  <c r="B10" i="18" s="1"/>
  <c r="C58" i="9"/>
  <c r="B9" i="18" s="1"/>
  <c r="C57" i="9"/>
  <c r="B8" i="18" s="1"/>
  <c r="C52" i="9"/>
  <c r="C51" i="9"/>
  <c r="C46" i="9"/>
  <c r="D35" i="9"/>
  <c r="C35" i="9" s="1"/>
  <c r="B7" i="16" s="1"/>
  <c r="S9" i="21" s="1"/>
  <c r="F17" i="9"/>
  <c r="C15" i="9"/>
  <c r="B7" i="8" s="1"/>
  <c r="K9" i="21" s="1"/>
  <c r="C8" i="9"/>
  <c r="C16" i="37" s="1"/>
  <c r="C21" i="37" s="1"/>
  <c r="C5" i="9"/>
  <c r="C4" i="9"/>
  <c r="C3" i="9"/>
  <c r="C2" i="9"/>
  <c r="L275" i="30"/>
  <c r="K275" i="30"/>
  <c r="H275" i="30"/>
  <c r="G275" i="30"/>
  <c r="C275" i="30"/>
  <c r="B275" i="30"/>
  <c r="A275" i="30"/>
  <c r="L274" i="30"/>
  <c r="K274" i="30"/>
  <c r="H274" i="30"/>
  <c r="G274" i="30"/>
  <c r="C274" i="30"/>
  <c r="B274" i="30"/>
  <c r="A274" i="30"/>
  <c r="L273" i="30"/>
  <c r="K273" i="30"/>
  <c r="H273" i="30"/>
  <c r="G273" i="30"/>
  <c r="C273" i="30"/>
  <c r="B273" i="30"/>
  <c r="A273" i="30"/>
  <c r="L272" i="30"/>
  <c r="K272" i="30"/>
  <c r="H272" i="30"/>
  <c r="G272" i="30"/>
  <c r="C272" i="30"/>
  <c r="B272" i="30"/>
  <c r="A272" i="30"/>
  <c r="L271" i="30"/>
  <c r="K271" i="30"/>
  <c r="H271" i="30"/>
  <c r="G271" i="30"/>
  <c r="C271" i="30"/>
  <c r="B271" i="30"/>
  <c r="A271" i="30"/>
  <c r="L270" i="30"/>
  <c r="K270" i="30"/>
  <c r="H270" i="30"/>
  <c r="G270" i="30"/>
  <c r="C270" i="30"/>
  <c r="B270" i="30"/>
  <c r="A270" i="30"/>
  <c r="L269" i="30"/>
  <c r="K269" i="30"/>
  <c r="H269" i="30"/>
  <c r="G269" i="30"/>
  <c r="C269" i="30"/>
  <c r="B269" i="30"/>
  <c r="A269" i="30"/>
  <c r="L268" i="30"/>
  <c r="K268" i="30"/>
  <c r="H268" i="30"/>
  <c r="G268" i="30"/>
  <c r="C268" i="30"/>
  <c r="B268" i="30"/>
  <c r="A268" i="30"/>
  <c r="L267" i="30"/>
  <c r="K267" i="30"/>
  <c r="H267" i="30"/>
  <c r="G267" i="30"/>
  <c r="C267" i="30"/>
  <c r="B267" i="30"/>
  <c r="A267" i="30"/>
  <c r="L266" i="30"/>
  <c r="K266" i="30"/>
  <c r="H266" i="30"/>
  <c r="G266" i="30"/>
  <c r="C266" i="30"/>
  <c r="B266" i="30"/>
  <c r="A266" i="30"/>
  <c r="L265" i="30"/>
  <c r="K265" i="30"/>
  <c r="H265" i="30"/>
  <c r="G265" i="30"/>
  <c r="C265" i="30"/>
  <c r="B265" i="30"/>
  <c r="A265" i="30"/>
  <c r="L264" i="30"/>
  <c r="K264" i="30"/>
  <c r="H264" i="30"/>
  <c r="G264" i="30"/>
  <c r="C264" i="30"/>
  <c r="B264" i="30"/>
  <c r="A264" i="30"/>
  <c r="L263" i="30"/>
  <c r="K263" i="30"/>
  <c r="H263" i="30"/>
  <c r="G263" i="30"/>
  <c r="C263" i="30"/>
  <c r="B263" i="30"/>
  <c r="A263" i="30"/>
  <c r="L262" i="30"/>
  <c r="K262" i="30"/>
  <c r="H262" i="30"/>
  <c r="G262" i="30"/>
  <c r="C262" i="30"/>
  <c r="B262" i="30"/>
  <c r="A262" i="30"/>
  <c r="L261" i="30"/>
  <c r="K261" i="30"/>
  <c r="H261" i="30"/>
  <c r="G261" i="30"/>
  <c r="C261" i="30"/>
  <c r="B261" i="30"/>
  <c r="A261" i="30"/>
  <c r="L260" i="30"/>
  <c r="K260" i="30"/>
  <c r="H260" i="30"/>
  <c r="G260" i="30"/>
  <c r="C260" i="30"/>
  <c r="B260" i="30"/>
  <c r="A260" i="30"/>
  <c r="L259" i="30"/>
  <c r="K259" i="30"/>
  <c r="H259" i="30"/>
  <c r="G259" i="30"/>
  <c r="C259" i="30"/>
  <c r="B259" i="30"/>
  <c r="A259" i="30"/>
  <c r="L258" i="30"/>
  <c r="K258" i="30"/>
  <c r="H258" i="30"/>
  <c r="G258" i="30"/>
  <c r="C258" i="30"/>
  <c r="B258" i="30"/>
  <c r="A258" i="30"/>
  <c r="L257" i="30"/>
  <c r="K257" i="30"/>
  <c r="H257" i="30"/>
  <c r="G257" i="30"/>
  <c r="C257" i="30"/>
  <c r="B257" i="30"/>
  <c r="A257" i="30"/>
  <c r="L256" i="30"/>
  <c r="K256" i="30"/>
  <c r="H256" i="30"/>
  <c r="G256" i="30"/>
  <c r="C256" i="30"/>
  <c r="B256" i="30"/>
  <c r="A256" i="30"/>
  <c r="L255" i="30"/>
  <c r="K255" i="30"/>
  <c r="H255" i="30"/>
  <c r="G255" i="30"/>
  <c r="C255" i="30"/>
  <c r="B255" i="30"/>
  <c r="A255" i="30"/>
  <c r="L254" i="30"/>
  <c r="K254" i="30"/>
  <c r="H254" i="30"/>
  <c r="G254" i="30"/>
  <c r="C254" i="30"/>
  <c r="B254" i="30"/>
  <c r="A254" i="30"/>
  <c r="L253" i="30"/>
  <c r="K253" i="30"/>
  <c r="H253" i="30"/>
  <c r="G253" i="30"/>
  <c r="C253" i="30"/>
  <c r="B253" i="30"/>
  <c r="A253" i="30"/>
  <c r="L252" i="30"/>
  <c r="K252" i="30"/>
  <c r="H252" i="30"/>
  <c r="G252" i="30"/>
  <c r="C252" i="30"/>
  <c r="B252" i="30"/>
  <c r="A252" i="30"/>
  <c r="L251" i="30"/>
  <c r="K251" i="30"/>
  <c r="H251" i="30"/>
  <c r="G251" i="30"/>
  <c r="C251" i="30"/>
  <c r="B251" i="30"/>
  <c r="A251" i="30"/>
  <c r="L250" i="30"/>
  <c r="K250" i="30"/>
  <c r="H250" i="30"/>
  <c r="G250" i="30"/>
  <c r="C250" i="30"/>
  <c r="B250" i="30"/>
  <c r="A250" i="30"/>
  <c r="L249" i="30"/>
  <c r="K249" i="30"/>
  <c r="H249" i="30"/>
  <c r="G249" i="30"/>
  <c r="C249" i="30"/>
  <c r="B249" i="30"/>
  <c r="A249" i="30"/>
  <c r="L248" i="30"/>
  <c r="K248" i="30"/>
  <c r="H248" i="30"/>
  <c r="G248" i="30"/>
  <c r="C248" i="30"/>
  <c r="B248" i="30"/>
  <c r="A248" i="30"/>
  <c r="L247" i="30"/>
  <c r="K247" i="30"/>
  <c r="H247" i="30"/>
  <c r="G247" i="30"/>
  <c r="C247" i="30"/>
  <c r="B247" i="30"/>
  <c r="A247" i="30"/>
  <c r="L246" i="30"/>
  <c r="K246" i="30"/>
  <c r="H246" i="30"/>
  <c r="G246" i="30"/>
  <c r="C246" i="30"/>
  <c r="B246" i="30"/>
  <c r="A246" i="30"/>
  <c r="L245" i="30"/>
  <c r="K245" i="30"/>
  <c r="H245" i="30"/>
  <c r="G245" i="30"/>
  <c r="C245" i="30"/>
  <c r="B245" i="30"/>
  <c r="A245" i="30"/>
  <c r="L244" i="30"/>
  <c r="K244" i="30"/>
  <c r="H244" i="30"/>
  <c r="G244" i="30"/>
  <c r="C244" i="30"/>
  <c r="B244" i="30"/>
  <c r="A244" i="30"/>
  <c r="L243" i="30"/>
  <c r="K243" i="30"/>
  <c r="H243" i="30"/>
  <c r="G243" i="30"/>
  <c r="C243" i="30"/>
  <c r="B243" i="30"/>
  <c r="A243" i="30"/>
  <c r="L242" i="30"/>
  <c r="K242" i="30"/>
  <c r="H242" i="30"/>
  <c r="G242" i="30"/>
  <c r="C242" i="30"/>
  <c r="B242" i="30"/>
  <c r="A242" i="30"/>
  <c r="L241" i="30"/>
  <c r="K241" i="30"/>
  <c r="H241" i="30"/>
  <c r="G241" i="30"/>
  <c r="C241" i="30"/>
  <c r="B241" i="30"/>
  <c r="A241" i="30"/>
  <c r="L240" i="30"/>
  <c r="K240" i="30"/>
  <c r="H240" i="30"/>
  <c r="G240" i="30"/>
  <c r="C240" i="30"/>
  <c r="B240" i="30"/>
  <c r="A240" i="30"/>
  <c r="L239" i="30"/>
  <c r="K239" i="30"/>
  <c r="H239" i="30"/>
  <c r="G239" i="30"/>
  <c r="C239" i="30"/>
  <c r="B239" i="30"/>
  <c r="A239" i="30"/>
  <c r="L238" i="30"/>
  <c r="K238" i="30"/>
  <c r="H238" i="30"/>
  <c r="G238" i="30"/>
  <c r="C238" i="30"/>
  <c r="B238" i="30"/>
  <c r="A238" i="30"/>
  <c r="L237" i="30"/>
  <c r="K237" i="30"/>
  <c r="H237" i="30"/>
  <c r="G237" i="30"/>
  <c r="C237" i="30"/>
  <c r="B237" i="30"/>
  <c r="A237" i="30"/>
  <c r="L236" i="30"/>
  <c r="K236" i="30"/>
  <c r="H236" i="30"/>
  <c r="G236" i="30"/>
  <c r="C236" i="30"/>
  <c r="B236" i="30"/>
  <c r="A236" i="30"/>
  <c r="L235" i="30"/>
  <c r="K235" i="30"/>
  <c r="H235" i="30"/>
  <c r="G235" i="30"/>
  <c r="C235" i="30"/>
  <c r="B235" i="30"/>
  <c r="A235" i="30"/>
  <c r="L234" i="30"/>
  <c r="K234" i="30"/>
  <c r="H234" i="30"/>
  <c r="G234" i="30"/>
  <c r="C234" i="30"/>
  <c r="B234" i="30"/>
  <c r="A234" i="30"/>
  <c r="L233" i="30"/>
  <c r="K233" i="30"/>
  <c r="H233" i="30"/>
  <c r="G233" i="30"/>
  <c r="C233" i="30"/>
  <c r="B233" i="30"/>
  <c r="A233" i="30"/>
  <c r="L232" i="30"/>
  <c r="K232" i="30"/>
  <c r="H232" i="30"/>
  <c r="G232" i="30"/>
  <c r="C232" i="30"/>
  <c r="B232" i="30"/>
  <c r="A232" i="30"/>
  <c r="L231" i="30"/>
  <c r="K231" i="30"/>
  <c r="H231" i="30"/>
  <c r="G231" i="30"/>
  <c r="C231" i="30"/>
  <c r="B231" i="30"/>
  <c r="A231" i="30"/>
  <c r="L230" i="30"/>
  <c r="K230" i="30"/>
  <c r="H230" i="30"/>
  <c r="G230" i="30"/>
  <c r="C230" i="30"/>
  <c r="B230" i="30"/>
  <c r="A230" i="30"/>
  <c r="L229" i="30"/>
  <c r="K229" i="30"/>
  <c r="H229" i="30"/>
  <c r="G229" i="30"/>
  <c r="C229" i="30"/>
  <c r="B229" i="30"/>
  <c r="A229" i="30"/>
  <c r="L228" i="30"/>
  <c r="K228" i="30"/>
  <c r="H228" i="30"/>
  <c r="G228" i="30"/>
  <c r="C228" i="30"/>
  <c r="B228" i="30"/>
  <c r="A228" i="30"/>
  <c r="L227" i="30"/>
  <c r="K227" i="30"/>
  <c r="H227" i="30"/>
  <c r="G227" i="30"/>
  <c r="C227" i="30"/>
  <c r="B227" i="30"/>
  <c r="A227" i="30"/>
  <c r="K226" i="30"/>
  <c r="H226" i="30"/>
  <c r="G226" i="30"/>
  <c r="C226" i="30"/>
  <c r="B226" i="30"/>
  <c r="A226" i="30"/>
  <c r="H225" i="30"/>
  <c r="G225" i="30"/>
  <c r="C225" i="30"/>
  <c r="B225" i="30"/>
  <c r="A225" i="30"/>
  <c r="H224" i="30"/>
  <c r="G224" i="30"/>
  <c r="C224" i="30"/>
  <c r="B224" i="30"/>
  <c r="A224" i="30"/>
  <c r="H223" i="30"/>
  <c r="G223" i="30"/>
  <c r="C223" i="30"/>
  <c r="B223" i="30"/>
  <c r="A223" i="30"/>
  <c r="H222" i="30"/>
  <c r="G222" i="30"/>
  <c r="C222" i="30"/>
  <c r="B222" i="30"/>
  <c r="A222" i="30"/>
  <c r="H221" i="30"/>
  <c r="G221" i="30"/>
  <c r="C221" i="30"/>
  <c r="B221" i="30"/>
  <c r="A221" i="30"/>
  <c r="H220" i="30"/>
  <c r="G220" i="30"/>
  <c r="C220" i="30"/>
  <c r="B220" i="30"/>
  <c r="A220" i="30"/>
  <c r="H219" i="30"/>
  <c r="G219" i="30"/>
  <c r="C219" i="30"/>
  <c r="B219" i="30"/>
  <c r="A219" i="30"/>
  <c r="H218" i="30"/>
  <c r="G218" i="30"/>
  <c r="C218" i="30"/>
  <c r="B218" i="30"/>
  <c r="A218" i="30"/>
  <c r="H217" i="30"/>
  <c r="G217" i="30"/>
  <c r="C217" i="30"/>
  <c r="B217" i="30"/>
  <c r="A217" i="30"/>
  <c r="H216" i="30"/>
  <c r="G216" i="30"/>
  <c r="C216" i="30"/>
  <c r="B216" i="30"/>
  <c r="A216" i="30"/>
  <c r="G215" i="30"/>
  <c r="C215" i="30"/>
  <c r="B215" i="30"/>
  <c r="A215" i="30"/>
  <c r="K214" i="30"/>
  <c r="G214" i="30"/>
  <c r="C214" i="30"/>
  <c r="B214" i="30"/>
  <c r="A214" i="30"/>
  <c r="G213" i="30"/>
  <c r="C213" i="30"/>
  <c r="B213" i="30"/>
  <c r="A213" i="30"/>
  <c r="G212" i="30"/>
  <c r="C212" i="30"/>
  <c r="B212" i="30"/>
  <c r="A212" i="30"/>
  <c r="G211" i="30"/>
  <c r="C211" i="30"/>
  <c r="B211" i="30"/>
  <c r="A211" i="30"/>
  <c r="G210" i="30"/>
  <c r="C210" i="30"/>
  <c r="B210" i="30"/>
  <c r="A210" i="30"/>
  <c r="G209" i="30"/>
  <c r="C209" i="30"/>
  <c r="B209" i="30"/>
  <c r="A209" i="30"/>
  <c r="G208" i="30"/>
  <c r="C208" i="30"/>
  <c r="B208" i="30"/>
  <c r="A208" i="30"/>
  <c r="G207" i="30"/>
  <c r="C207" i="30"/>
  <c r="B207" i="30"/>
  <c r="A207" i="30"/>
  <c r="G206" i="30"/>
  <c r="C206" i="30"/>
  <c r="B206" i="30"/>
  <c r="A206" i="30"/>
  <c r="G205" i="30"/>
  <c r="C205" i="30"/>
  <c r="B205" i="30"/>
  <c r="A205" i="30"/>
  <c r="G202" i="30"/>
  <c r="E202" i="30"/>
  <c r="D202" i="30"/>
  <c r="F202" i="30" s="1"/>
  <c r="H202" i="30" s="1"/>
  <c r="C202" i="30"/>
  <c r="B202" i="30"/>
  <c r="A202" i="30"/>
  <c r="G201" i="30"/>
  <c r="E201" i="30"/>
  <c r="D201" i="30"/>
  <c r="F201" i="30" s="1"/>
  <c r="H201" i="30" s="1"/>
  <c r="C201" i="30"/>
  <c r="B201" i="30"/>
  <c r="A201" i="30"/>
  <c r="G200" i="30"/>
  <c r="E200" i="30"/>
  <c r="D200" i="30"/>
  <c r="F200" i="30" s="1"/>
  <c r="H200" i="30" s="1"/>
  <c r="C200" i="30"/>
  <c r="B200" i="30"/>
  <c r="A200" i="30"/>
  <c r="G199" i="30"/>
  <c r="E199" i="30"/>
  <c r="D199" i="30"/>
  <c r="F199" i="30" s="1"/>
  <c r="H199" i="30" s="1"/>
  <c r="C199" i="30"/>
  <c r="B199" i="30"/>
  <c r="A199" i="30"/>
  <c r="G198" i="30"/>
  <c r="E198" i="30"/>
  <c r="D198" i="30"/>
  <c r="F198" i="30" s="1"/>
  <c r="H198" i="30" s="1"/>
  <c r="C198" i="30"/>
  <c r="B198" i="30"/>
  <c r="A198" i="30"/>
  <c r="K197" i="30"/>
  <c r="G197" i="30"/>
  <c r="E197" i="30"/>
  <c r="D197" i="30"/>
  <c r="C197" i="30"/>
  <c r="B197" i="30"/>
  <c r="A197" i="30"/>
  <c r="G194" i="30"/>
  <c r="E194" i="30"/>
  <c r="D194" i="30"/>
  <c r="F194" i="30" s="1"/>
  <c r="H194" i="30" s="1"/>
  <c r="C194" i="30"/>
  <c r="B194" i="30"/>
  <c r="A194" i="30"/>
  <c r="G193" i="30"/>
  <c r="E193" i="30"/>
  <c r="D193" i="30"/>
  <c r="F193" i="30" s="1"/>
  <c r="H193" i="30" s="1"/>
  <c r="C193" i="30"/>
  <c r="B193" i="30"/>
  <c r="A193" i="30"/>
  <c r="G192" i="30"/>
  <c r="E192" i="30"/>
  <c r="D192" i="30"/>
  <c r="F192" i="30" s="1"/>
  <c r="H192" i="30" s="1"/>
  <c r="C192" i="30"/>
  <c r="B192" i="30"/>
  <c r="A192" i="30"/>
  <c r="G191" i="30"/>
  <c r="E191" i="30"/>
  <c r="D191" i="30"/>
  <c r="F191" i="30" s="1"/>
  <c r="H191" i="30" s="1"/>
  <c r="C191" i="30"/>
  <c r="B191" i="30"/>
  <c r="A191" i="30"/>
  <c r="G190" i="30"/>
  <c r="E190" i="30"/>
  <c r="D190" i="30"/>
  <c r="F190" i="30" s="1"/>
  <c r="H190" i="30" s="1"/>
  <c r="C190" i="30"/>
  <c r="B190" i="30"/>
  <c r="A190" i="30"/>
  <c r="G189" i="30"/>
  <c r="E189" i="30"/>
  <c r="D189" i="30"/>
  <c r="F189" i="30" s="1"/>
  <c r="H189" i="30" s="1"/>
  <c r="C189" i="30"/>
  <c r="B189" i="30"/>
  <c r="A189" i="30"/>
  <c r="G188" i="30"/>
  <c r="E188" i="30"/>
  <c r="D188" i="30"/>
  <c r="F188" i="30" s="1"/>
  <c r="H188" i="30" s="1"/>
  <c r="C188" i="30"/>
  <c r="B188" i="30"/>
  <c r="A188" i="30"/>
  <c r="G187" i="30"/>
  <c r="E187" i="30"/>
  <c r="D187" i="30"/>
  <c r="F187" i="30" s="1"/>
  <c r="H187" i="30" s="1"/>
  <c r="C187" i="30"/>
  <c r="B187" i="30"/>
  <c r="A187" i="30"/>
  <c r="G186" i="30"/>
  <c r="E186" i="30"/>
  <c r="D186" i="30"/>
  <c r="F186" i="30" s="1"/>
  <c r="H186" i="30" s="1"/>
  <c r="C186" i="30"/>
  <c r="B186" i="30"/>
  <c r="A186" i="30"/>
  <c r="G185" i="30"/>
  <c r="E185" i="30"/>
  <c r="D185" i="30"/>
  <c r="F185" i="30" s="1"/>
  <c r="H185" i="30" s="1"/>
  <c r="C185" i="30"/>
  <c r="B185" i="30"/>
  <c r="A185" i="30"/>
  <c r="G184" i="30"/>
  <c r="E184" i="30"/>
  <c r="D184" i="30"/>
  <c r="F184" i="30" s="1"/>
  <c r="H184" i="30" s="1"/>
  <c r="C184" i="30"/>
  <c r="B184" i="30"/>
  <c r="A184" i="30"/>
  <c r="G183" i="30"/>
  <c r="E183" i="30"/>
  <c r="D183" i="30"/>
  <c r="F183" i="30" s="1"/>
  <c r="H183" i="30" s="1"/>
  <c r="C183" i="30"/>
  <c r="B183" i="30"/>
  <c r="A183" i="30"/>
  <c r="G182" i="30"/>
  <c r="E182" i="30"/>
  <c r="D182" i="30"/>
  <c r="F182" i="30" s="1"/>
  <c r="H182" i="30" s="1"/>
  <c r="C182" i="30"/>
  <c r="B182" i="30"/>
  <c r="A182" i="30"/>
  <c r="G181" i="30"/>
  <c r="E181" i="30"/>
  <c r="D181" i="30"/>
  <c r="F181" i="30" s="1"/>
  <c r="H181" i="30" s="1"/>
  <c r="C181" i="30"/>
  <c r="B181" i="30"/>
  <c r="A181" i="30"/>
  <c r="G180" i="30"/>
  <c r="E180" i="30"/>
  <c r="D180" i="30"/>
  <c r="F180" i="30" s="1"/>
  <c r="H180" i="30" s="1"/>
  <c r="C180" i="30"/>
  <c r="B180" i="30"/>
  <c r="A180" i="30"/>
  <c r="G179" i="30"/>
  <c r="E179" i="30"/>
  <c r="D179" i="30"/>
  <c r="F179" i="30" s="1"/>
  <c r="H179" i="30" s="1"/>
  <c r="C179" i="30"/>
  <c r="B179" i="30"/>
  <c r="A179" i="30"/>
  <c r="G178" i="30"/>
  <c r="E178" i="30"/>
  <c r="D178" i="30"/>
  <c r="F178" i="30" s="1"/>
  <c r="H178" i="30" s="1"/>
  <c r="C178" i="30"/>
  <c r="B178" i="30"/>
  <c r="A178" i="30"/>
  <c r="K177" i="30"/>
  <c r="G177" i="30"/>
  <c r="E177" i="30"/>
  <c r="D177" i="30"/>
  <c r="F177" i="30" s="1"/>
  <c r="H177" i="30" s="1"/>
  <c r="C177" i="30"/>
  <c r="B177" i="30"/>
  <c r="A177" i="30"/>
  <c r="G176" i="30"/>
  <c r="E176" i="30"/>
  <c r="D176" i="30"/>
  <c r="F176" i="30" s="1"/>
  <c r="H176" i="30" s="1"/>
  <c r="C176" i="30"/>
  <c r="B176" i="30"/>
  <c r="A176" i="30"/>
  <c r="G175" i="30"/>
  <c r="E175" i="30"/>
  <c r="D175" i="30"/>
  <c r="F175" i="30" s="1"/>
  <c r="H175" i="30" s="1"/>
  <c r="C175" i="30"/>
  <c r="B175" i="30"/>
  <c r="A175" i="30"/>
  <c r="G174" i="30"/>
  <c r="E174" i="30"/>
  <c r="D174" i="30"/>
  <c r="F174" i="30" s="1"/>
  <c r="H174" i="30" s="1"/>
  <c r="C174" i="30"/>
  <c r="B174" i="30"/>
  <c r="A174" i="30"/>
  <c r="G173" i="30"/>
  <c r="E173" i="30"/>
  <c r="D173" i="30"/>
  <c r="F173" i="30" s="1"/>
  <c r="H173" i="30" s="1"/>
  <c r="C173" i="30"/>
  <c r="B173" i="30"/>
  <c r="A173" i="30"/>
  <c r="G172" i="30"/>
  <c r="E172" i="30"/>
  <c r="D172" i="30"/>
  <c r="F172" i="30" s="1"/>
  <c r="H172" i="30" s="1"/>
  <c r="C172" i="30"/>
  <c r="B172" i="30"/>
  <c r="A172" i="30"/>
  <c r="G171" i="30"/>
  <c r="E171" i="30"/>
  <c r="D171" i="30"/>
  <c r="F171" i="30" s="1"/>
  <c r="H171" i="30" s="1"/>
  <c r="C171" i="30"/>
  <c r="B171" i="30"/>
  <c r="A171" i="30"/>
  <c r="G170" i="30"/>
  <c r="E170" i="30"/>
  <c r="D170" i="30"/>
  <c r="F170" i="30" s="1"/>
  <c r="H170" i="30" s="1"/>
  <c r="C170" i="30"/>
  <c r="B170" i="30"/>
  <c r="A170" i="30"/>
  <c r="G169" i="30"/>
  <c r="E169" i="30"/>
  <c r="D169" i="30"/>
  <c r="F169" i="30" s="1"/>
  <c r="H169" i="30" s="1"/>
  <c r="C169" i="30"/>
  <c r="B169" i="30"/>
  <c r="A169" i="30"/>
  <c r="G168" i="30"/>
  <c r="E168" i="30"/>
  <c r="D168" i="30"/>
  <c r="F168" i="30" s="1"/>
  <c r="C168" i="30"/>
  <c r="B168" i="30"/>
  <c r="A168" i="30"/>
  <c r="G165" i="30"/>
  <c r="E165" i="30"/>
  <c r="D165" i="30"/>
  <c r="C165" i="30"/>
  <c r="B165" i="30"/>
  <c r="A165" i="30"/>
  <c r="G164" i="30"/>
  <c r="E164" i="30"/>
  <c r="D164" i="30"/>
  <c r="F164" i="30" s="1"/>
  <c r="H164" i="30" s="1"/>
  <c r="C164" i="30"/>
  <c r="B164" i="30"/>
  <c r="A164" i="30"/>
  <c r="G163" i="30"/>
  <c r="E163" i="30"/>
  <c r="D163" i="30"/>
  <c r="C163" i="30"/>
  <c r="B163" i="30"/>
  <c r="A163" i="30"/>
  <c r="G162" i="30"/>
  <c r="E162" i="30"/>
  <c r="D162" i="30"/>
  <c r="C162" i="30"/>
  <c r="B162" i="30"/>
  <c r="A162" i="30"/>
  <c r="G161" i="30"/>
  <c r="E161" i="30"/>
  <c r="D161" i="30"/>
  <c r="F161" i="30" s="1"/>
  <c r="H161" i="30" s="1"/>
  <c r="C161" i="30"/>
  <c r="B161" i="30"/>
  <c r="A161" i="30"/>
  <c r="G160" i="30"/>
  <c r="E160" i="30"/>
  <c r="D160" i="30"/>
  <c r="F160" i="30" s="1"/>
  <c r="H160" i="30" s="1"/>
  <c r="C160" i="30"/>
  <c r="B160" i="30"/>
  <c r="A160" i="30"/>
  <c r="G159" i="30"/>
  <c r="E159" i="30"/>
  <c r="D159" i="30"/>
  <c r="C159" i="30"/>
  <c r="B159" i="30"/>
  <c r="A159" i="30"/>
  <c r="K158" i="30"/>
  <c r="G158" i="30"/>
  <c r="E158" i="30"/>
  <c r="D158" i="30"/>
  <c r="F158" i="30" s="1"/>
  <c r="C158" i="30"/>
  <c r="B158" i="30"/>
  <c r="A158" i="30"/>
  <c r="G157" i="30"/>
  <c r="E157" i="30"/>
  <c r="D157" i="30"/>
  <c r="C157" i="30"/>
  <c r="B157" i="30"/>
  <c r="A157" i="30"/>
  <c r="H154" i="30"/>
  <c r="G154" i="30"/>
  <c r="F154" i="30"/>
  <c r="E154" i="30"/>
  <c r="D154" i="30"/>
  <c r="C154" i="30"/>
  <c r="B154" i="30"/>
  <c r="A154" i="30"/>
  <c r="H153" i="30"/>
  <c r="G153" i="30"/>
  <c r="F153" i="30"/>
  <c r="E153" i="30"/>
  <c r="D153" i="30"/>
  <c r="C153" i="30"/>
  <c r="B153" i="30"/>
  <c r="A153" i="30"/>
  <c r="H152" i="30"/>
  <c r="G152" i="30"/>
  <c r="F152" i="30"/>
  <c r="E152" i="30"/>
  <c r="D152" i="30"/>
  <c r="C152" i="30"/>
  <c r="B152" i="30"/>
  <c r="A152" i="30"/>
  <c r="H151" i="30"/>
  <c r="G151" i="30"/>
  <c r="F151" i="30"/>
  <c r="E151" i="30"/>
  <c r="D151" i="30"/>
  <c r="C151" i="30"/>
  <c r="B151" i="30"/>
  <c r="A151" i="30"/>
  <c r="H150" i="30"/>
  <c r="G150" i="30"/>
  <c r="F150" i="30"/>
  <c r="E150" i="30"/>
  <c r="D150" i="30"/>
  <c r="C150" i="30"/>
  <c r="B150" i="30"/>
  <c r="A150" i="30"/>
  <c r="G149" i="30"/>
  <c r="E149" i="30"/>
  <c r="D149" i="30"/>
  <c r="F149" i="30" s="1"/>
  <c r="H149" i="30" s="1"/>
  <c r="C149" i="30"/>
  <c r="B149" i="30"/>
  <c r="A149" i="30"/>
  <c r="H148" i="30"/>
  <c r="G148" i="30"/>
  <c r="E148" i="30"/>
  <c r="D148" i="30"/>
  <c r="C148" i="30"/>
  <c r="B148" i="30"/>
  <c r="A148" i="30"/>
  <c r="K147" i="30"/>
  <c r="G147" i="30"/>
  <c r="E147" i="30"/>
  <c r="D147" i="30"/>
  <c r="F147" i="30" s="1"/>
  <c r="H147" i="30" s="1"/>
  <c r="C147" i="30"/>
  <c r="B147" i="30"/>
  <c r="A147" i="30"/>
  <c r="G146" i="30"/>
  <c r="E146" i="30"/>
  <c r="D146" i="30"/>
  <c r="F146" i="30" s="1"/>
  <c r="H146" i="30" s="1"/>
  <c r="C146" i="30"/>
  <c r="B146" i="30"/>
  <c r="A146" i="30"/>
  <c r="G145" i="30"/>
  <c r="E145" i="30"/>
  <c r="D145" i="30"/>
  <c r="F145" i="30" s="1"/>
  <c r="H145" i="30" s="1"/>
  <c r="C145" i="30"/>
  <c r="B145" i="30"/>
  <c r="A145" i="30"/>
  <c r="G144" i="30"/>
  <c r="E144" i="30"/>
  <c r="D144" i="30"/>
  <c r="F144" i="30" s="1"/>
  <c r="C144" i="30"/>
  <c r="B144" i="30"/>
  <c r="A144" i="30"/>
  <c r="H143" i="30"/>
  <c r="G143" i="30"/>
  <c r="F143" i="30"/>
  <c r="E143" i="30"/>
  <c r="D143" i="30"/>
  <c r="C143" i="30"/>
  <c r="B143" i="30"/>
  <c r="A143" i="30"/>
  <c r="H142" i="30"/>
  <c r="G142" i="30"/>
  <c r="F142" i="30"/>
  <c r="E142" i="30"/>
  <c r="D142" i="30"/>
  <c r="C142" i="30"/>
  <c r="B142" i="30"/>
  <c r="A142" i="30"/>
  <c r="H141" i="30"/>
  <c r="G141" i="30"/>
  <c r="F141" i="30"/>
  <c r="E141" i="30"/>
  <c r="D141" i="30"/>
  <c r="C141" i="30"/>
  <c r="B141" i="30"/>
  <c r="A141" i="30"/>
  <c r="G138" i="30"/>
  <c r="E138" i="30"/>
  <c r="D138" i="30"/>
  <c r="C138" i="30"/>
  <c r="B138" i="30"/>
  <c r="A138" i="30"/>
  <c r="G137" i="30"/>
  <c r="E137" i="30"/>
  <c r="D137" i="30"/>
  <c r="F137" i="30" s="1"/>
  <c r="H137" i="30" s="1"/>
  <c r="C137" i="30"/>
  <c r="B137" i="30"/>
  <c r="A137" i="30"/>
  <c r="G136" i="30"/>
  <c r="E136" i="30"/>
  <c r="D136" i="30"/>
  <c r="C136" i="30"/>
  <c r="B136" i="30"/>
  <c r="A136" i="30"/>
  <c r="G135" i="30"/>
  <c r="E135" i="30"/>
  <c r="D135" i="30"/>
  <c r="F135" i="30" s="1"/>
  <c r="H135" i="30" s="1"/>
  <c r="C135" i="30"/>
  <c r="B135" i="30"/>
  <c r="A135" i="30"/>
  <c r="G134" i="30"/>
  <c r="E134" i="30"/>
  <c r="D134" i="30"/>
  <c r="F134" i="30" s="1"/>
  <c r="H134" i="30" s="1"/>
  <c r="C134" i="30"/>
  <c r="B134" i="30"/>
  <c r="A134" i="30"/>
  <c r="G133" i="30"/>
  <c r="E133" i="30"/>
  <c r="D133" i="30"/>
  <c r="F133" i="30" s="1"/>
  <c r="H133" i="30" s="1"/>
  <c r="C133" i="30"/>
  <c r="B133" i="30"/>
  <c r="A133" i="30"/>
  <c r="H132" i="30"/>
  <c r="G132" i="30"/>
  <c r="E132" i="30"/>
  <c r="D132" i="30"/>
  <c r="F132" i="30" s="1"/>
  <c r="C132" i="30"/>
  <c r="B132" i="30"/>
  <c r="A132" i="30"/>
  <c r="H131" i="30"/>
  <c r="G131" i="30"/>
  <c r="E131" i="30"/>
  <c r="D131" i="30"/>
  <c r="F131" i="30" s="1"/>
  <c r="C131" i="30"/>
  <c r="B131" i="30"/>
  <c r="A131" i="30"/>
  <c r="G130" i="30"/>
  <c r="E130" i="30"/>
  <c r="D130" i="30"/>
  <c r="C130" i="30"/>
  <c r="B130" i="30"/>
  <c r="A130" i="30"/>
  <c r="G129" i="30"/>
  <c r="E129" i="30"/>
  <c r="D129" i="30"/>
  <c r="F129" i="30" s="1"/>
  <c r="H129" i="30" s="1"/>
  <c r="C129" i="30"/>
  <c r="B129" i="30"/>
  <c r="A129" i="30"/>
  <c r="G128" i="30"/>
  <c r="E128" i="30"/>
  <c r="D128" i="30"/>
  <c r="C128" i="30"/>
  <c r="B128" i="30"/>
  <c r="A128" i="30"/>
  <c r="G127" i="30"/>
  <c r="E127" i="30"/>
  <c r="D127" i="30"/>
  <c r="F127" i="30" s="1"/>
  <c r="H127" i="30" s="1"/>
  <c r="C127" i="30"/>
  <c r="B127" i="30"/>
  <c r="A127" i="30"/>
  <c r="G126" i="30"/>
  <c r="E126" i="30"/>
  <c r="D126" i="30"/>
  <c r="F126" i="30" s="1"/>
  <c r="H126" i="30" s="1"/>
  <c r="C126" i="30"/>
  <c r="B126" i="30"/>
  <c r="A126" i="30"/>
  <c r="G125" i="30"/>
  <c r="E125" i="30"/>
  <c r="D125" i="30"/>
  <c r="F125" i="30" s="1"/>
  <c r="H125" i="30" s="1"/>
  <c r="C125" i="30"/>
  <c r="B125" i="30"/>
  <c r="A125" i="30"/>
  <c r="H124" i="30"/>
  <c r="G124" i="30"/>
  <c r="E124" i="30"/>
  <c r="D124" i="30"/>
  <c r="F124" i="30" s="1"/>
  <c r="C124" i="30"/>
  <c r="B124" i="30"/>
  <c r="A124" i="30"/>
  <c r="H123" i="30"/>
  <c r="G123" i="30"/>
  <c r="E123" i="30"/>
  <c r="D123" i="30"/>
  <c r="F123" i="30" s="1"/>
  <c r="C123" i="30"/>
  <c r="B123" i="30"/>
  <c r="A123" i="30"/>
  <c r="G122" i="30"/>
  <c r="E122" i="30"/>
  <c r="D122" i="30"/>
  <c r="C122" i="30"/>
  <c r="B122" i="30"/>
  <c r="A122" i="30"/>
  <c r="G121" i="30"/>
  <c r="E121" i="30"/>
  <c r="D121" i="30"/>
  <c r="F121" i="30" s="1"/>
  <c r="H121" i="30" s="1"/>
  <c r="C121" i="30"/>
  <c r="B121" i="30"/>
  <c r="A121" i="30"/>
  <c r="G120" i="30"/>
  <c r="E120" i="30"/>
  <c r="D120" i="30"/>
  <c r="C120" i="30"/>
  <c r="B120" i="30"/>
  <c r="A120" i="30"/>
  <c r="G119" i="30"/>
  <c r="E119" i="30"/>
  <c r="D119" i="30"/>
  <c r="F119" i="30" s="1"/>
  <c r="H119" i="30" s="1"/>
  <c r="C119" i="30"/>
  <c r="B119" i="30"/>
  <c r="A119" i="30"/>
  <c r="G118" i="30"/>
  <c r="E118" i="30"/>
  <c r="D118" i="30"/>
  <c r="F118" i="30" s="1"/>
  <c r="H118" i="30" s="1"/>
  <c r="C118" i="30"/>
  <c r="B118" i="30"/>
  <c r="A118" i="30"/>
  <c r="G117" i="30"/>
  <c r="E117" i="30"/>
  <c r="D117" i="30"/>
  <c r="C117" i="30"/>
  <c r="B117" i="30"/>
  <c r="A117" i="30"/>
  <c r="H116" i="30"/>
  <c r="G116" i="30"/>
  <c r="E116" i="30"/>
  <c r="D116" i="30"/>
  <c r="F116" i="30" s="1"/>
  <c r="C116" i="30"/>
  <c r="B116" i="30"/>
  <c r="A116" i="30"/>
  <c r="H115" i="30"/>
  <c r="G115" i="30"/>
  <c r="E115" i="30"/>
  <c r="D115" i="30"/>
  <c r="F115" i="30" s="1"/>
  <c r="C115" i="30"/>
  <c r="B115" i="30"/>
  <c r="A115" i="30"/>
  <c r="G114" i="30"/>
  <c r="E114" i="30"/>
  <c r="D114" i="30"/>
  <c r="C114" i="30"/>
  <c r="B114" i="30"/>
  <c r="A114" i="30"/>
  <c r="G113" i="30"/>
  <c r="E113" i="30"/>
  <c r="D113" i="30"/>
  <c r="F113" i="30" s="1"/>
  <c r="H113" i="30" s="1"/>
  <c r="C113" i="30"/>
  <c r="B113" i="30"/>
  <c r="A113" i="30"/>
  <c r="G112" i="30"/>
  <c r="E112" i="30"/>
  <c r="D112" i="30"/>
  <c r="C112" i="30"/>
  <c r="B112" i="30"/>
  <c r="A112" i="30"/>
  <c r="G111" i="30"/>
  <c r="E111" i="30"/>
  <c r="D111" i="30"/>
  <c r="F111" i="30" s="1"/>
  <c r="H111" i="30" s="1"/>
  <c r="C111" i="30"/>
  <c r="B111" i="30"/>
  <c r="A111" i="30"/>
  <c r="G110" i="30"/>
  <c r="E110" i="30"/>
  <c r="D110" i="30"/>
  <c r="F110" i="30" s="1"/>
  <c r="H110" i="30" s="1"/>
  <c r="C110" i="30"/>
  <c r="B110" i="30"/>
  <c r="A110" i="30"/>
  <c r="G109" i="30"/>
  <c r="E109" i="30"/>
  <c r="D109" i="30"/>
  <c r="C109" i="30"/>
  <c r="B109" i="30"/>
  <c r="A109" i="30"/>
  <c r="H108" i="30"/>
  <c r="G108" i="30"/>
  <c r="E108" i="30"/>
  <c r="D108" i="30"/>
  <c r="F108" i="30" s="1"/>
  <c r="C108" i="30"/>
  <c r="B108" i="30"/>
  <c r="A108" i="30"/>
  <c r="H107" i="30"/>
  <c r="G107" i="30"/>
  <c r="E107" i="30"/>
  <c r="D107" i="30"/>
  <c r="F107" i="30" s="1"/>
  <c r="C107" i="30"/>
  <c r="B107" i="30"/>
  <c r="A107" i="30"/>
  <c r="G106" i="30"/>
  <c r="E106" i="30"/>
  <c r="D106" i="30"/>
  <c r="C106" i="30"/>
  <c r="B106" i="30"/>
  <c r="A106" i="30"/>
  <c r="G105" i="30"/>
  <c r="E105" i="30"/>
  <c r="D105" i="30"/>
  <c r="F105" i="30" s="1"/>
  <c r="H105" i="30" s="1"/>
  <c r="C105" i="30"/>
  <c r="B105" i="30"/>
  <c r="A105" i="30"/>
  <c r="G104" i="30"/>
  <c r="E104" i="30"/>
  <c r="D104" i="30"/>
  <c r="C104" i="30"/>
  <c r="B104" i="30"/>
  <c r="A104" i="30"/>
  <c r="G103" i="30"/>
  <c r="E103" i="30"/>
  <c r="D103" i="30"/>
  <c r="F103" i="30" s="1"/>
  <c r="H103" i="30" s="1"/>
  <c r="C103" i="30"/>
  <c r="B103" i="30"/>
  <c r="A103" i="30"/>
  <c r="G102" i="30"/>
  <c r="E102" i="30"/>
  <c r="D102" i="30"/>
  <c r="F102" i="30" s="1"/>
  <c r="H102" i="30" s="1"/>
  <c r="C102" i="30"/>
  <c r="B102" i="30"/>
  <c r="A102" i="30"/>
  <c r="G101" i="30"/>
  <c r="E101" i="30"/>
  <c r="D101" i="30"/>
  <c r="C101" i="30"/>
  <c r="B101" i="30"/>
  <c r="A101" i="30"/>
  <c r="H100" i="30"/>
  <c r="G100" i="30"/>
  <c r="E100" i="30"/>
  <c r="D100" i="30"/>
  <c r="F100" i="30" s="1"/>
  <c r="C100" i="30"/>
  <c r="B100" i="30"/>
  <c r="A100" i="30"/>
  <c r="H99" i="30"/>
  <c r="G99" i="30"/>
  <c r="E99" i="30"/>
  <c r="D99" i="30"/>
  <c r="F99" i="30" s="1"/>
  <c r="C99" i="30"/>
  <c r="B99" i="30"/>
  <c r="A99" i="30"/>
  <c r="G98" i="30"/>
  <c r="E98" i="30"/>
  <c r="D98" i="30"/>
  <c r="C98" i="30"/>
  <c r="B98" i="30"/>
  <c r="A98" i="30"/>
  <c r="G97" i="30"/>
  <c r="E97" i="30"/>
  <c r="D97" i="30"/>
  <c r="F97" i="30" s="1"/>
  <c r="H97" i="30" s="1"/>
  <c r="C97" i="30"/>
  <c r="B97" i="30"/>
  <c r="A97" i="30"/>
  <c r="G96" i="30"/>
  <c r="E96" i="30"/>
  <c r="D96" i="30"/>
  <c r="C96" i="30"/>
  <c r="B96" i="30"/>
  <c r="A96" i="30"/>
  <c r="G95" i="30"/>
  <c r="E95" i="30"/>
  <c r="D95" i="30"/>
  <c r="F95" i="30" s="1"/>
  <c r="H95" i="30" s="1"/>
  <c r="C95" i="30"/>
  <c r="B95" i="30"/>
  <c r="A95" i="30"/>
  <c r="G94" i="30"/>
  <c r="E94" i="30"/>
  <c r="D94" i="30"/>
  <c r="F94" i="30" s="1"/>
  <c r="H94" i="30" s="1"/>
  <c r="C94" i="30"/>
  <c r="B94" i="30"/>
  <c r="A94" i="30"/>
  <c r="G93" i="30"/>
  <c r="E93" i="30"/>
  <c r="D93" i="30"/>
  <c r="C93" i="30"/>
  <c r="B93" i="30"/>
  <c r="A93" i="30"/>
  <c r="H92" i="30"/>
  <c r="G92" i="30"/>
  <c r="E92" i="30"/>
  <c r="D92" i="30"/>
  <c r="F92" i="30" s="1"/>
  <c r="C92" i="30"/>
  <c r="B92" i="30"/>
  <c r="A92" i="30"/>
  <c r="H91" i="30"/>
  <c r="G91" i="30"/>
  <c r="E91" i="30"/>
  <c r="D91" i="30"/>
  <c r="F91" i="30" s="1"/>
  <c r="C91" i="30"/>
  <c r="B91" i="30"/>
  <c r="A91" i="30"/>
  <c r="G90" i="30"/>
  <c r="E90" i="30"/>
  <c r="D90" i="30"/>
  <c r="C90" i="30"/>
  <c r="B90" i="30"/>
  <c r="A90" i="30"/>
  <c r="G89" i="30"/>
  <c r="E89" i="30"/>
  <c r="D89" i="30"/>
  <c r="F89" i="30" s="1"/>
  <c r="H89" i="30" s="1"/>
  <c r="C89" i="30"/>
  <c r="B89" i="30"/>
  <c r="A89" i="30"/>
  <c r="G88" i="30"/>
  <c r="E88" i="30"/>
  <c r="D88" i="30"/>
  <c r="C88" i="30"/>
  <c r="B88" i="30"/>
  <c r="A88" i="30"/>
  <c r="G87" i="30"/>
  <c r="E87" i="30"/>
  <c r="D87" i="30"/>
  <c r="F87" i="30" s="1"/>
  <c r="H87" i="30" s="1"/>
  <c r="C87" i="30"/>
  <c r="B87" i="30"/>
  <c r="A87" i="30"/>
  <c r="G86" i="30"/>
  <c r="E86" i="30"/>
  <c r="D86" i="30"/>
  <c r="F86" i="30" s="1"/>
  <c r="H86" i="30" s="1"/>
  <c r="C86" i="30"/>
  <c r="B86" i="30"/>
  <c r="A86" i="30"/>
  <c r="G85" i="30"/>
  <c r="E85" i="30"/>
  <c r="D85" i="30"/>
  <c r="C85" i="30"/>
  <c r="B85" i="30"/>
  <c r="A85" i="30"/>
  <c r="H84" i="30"/>
  <c r="G84" i="30"/>
  <c r="E84" i="30"/>
  <c r="D84" i="30"/>
  <c r="F84" i="30" s="1"/>
  <c r="C84" i="30"/>
  <c r="B84" i="30"/>
  <c r="A84" i="30"/>
  <c r="H83" i="30"/>
  <c r="G83" i="30"/>
  <c r="E83" i="30"/>
  <c r="D83" i="30"/>
  <c r="F83" i="30" s="1"/>
  <c r="C83" i="30"/>
  <c r="B83" i="30"/>
  <c r="A83" i="30"/>
  <c r="G82" i="30"/>
  <c r="E82" i="30"/>
  <c r="D82" i="30"/>
  <c r="C82" i="30"/>
  <c r="B82" i="30"/>
  <c r="A82" i="30"/>
  <c r="G81" i="30"/>
  <c r="E81" i="30"/>
  <c r="D81" i="30"/>
  <c r="F81" i="30" s="1"/>
  <c r="H81" i="30" s="1"/>
  <c r="C81" i="30"/>
  <c r="B81" i="30"/>
  <c r="A81" i="30"/>
  <c r="G80" i="30"/>
  <c r="E80" i="30"/>
  <c r="D80" i="30"/>
  <c r="C80" i="30"/>
  <c r="B80" i="30"/>
  <c r="A80" i="30"/>
  <c r="G79" i="30"/>
  <c r="E79" i="30"/>
  <c r="D79" i="30"/>
  <c r="C79" i="30"/>
  <c r="B79" i="30"/>
  <c r="A79" i="30"/>
  <c r="G78" i="30"/>
  <c r="E78" i="30"/>
  <c r="D78" i="30"/>
  <c r="F78" i="30" s="1"/>
  <c r="H78" i="30" s="1"/>
  <c r="C78" i="30"/>
  <c r="B78" i="30"/>
  <c r="A78" i="30"/>
  <c r="G77" i="30"/>
  <c r="E77" i="30"/>
  <c r="D77" i="30"/>
  <c r="C77" i="30"/>
  <c r="B77" i="30"/>
  <c r="A77" i="30"/>
  <c r="H76" i="30"/>
  <c r="G76" i="30"/>
  <c r="E76" i="30"/>
  <c r="D76" i="30"/>
  <c r="F76" i="30" s="1"/>
  <c r="C76" i="30"/>
  <c r="B76" i="30"/>
  <c r="A76" i="30"/>
  <c r="H75" i="30"/>
  <c r="G75" i="30"/>
  <c r="E75" i="30"/>
  <c r="D75" i="30"/>
  <c r="F75" i="30" s="1"/>
  <c r="C75" i="30"/>
  <c r="B75" i="30"/>
  <c r="A75" i="30"/>
  <c r="G74" i="30"/>
  <c r="E74" i="30"/>
  <c r="D74" i="30"/>
  <c r="C74" i="30"/>
  <c r="B74" i="30"/>
  <c r="A74" i="30"/>
  <c r="G73" i="30"/>
  <c r="E73" i="30"/>
  <c r="D73" i="30"/>
  <c r="F73" i="30" s="1"/>
  <c r="H73" i="30" s="1"/>
  <c r="C73" i="30"/>
  <c r="B73" i="30"/>
  <c r="A73" i="30"/>
  <c r="G72" i="30"/>
  <c r="E72" i="30"/>
  <c r="D72" i="30"/>
  <c r="C72" i="30"/>
  <c r="B72" i="30"/>
  <c r="A72" i="30"/>
  <c r="G71" i="30"/>
  <c r="E71" i="30"/>
  <c r="D71" i="30"/>
  <c r="F71" i="30" s="1"/>
  <c r="H71" i="30" s="1"/>
  <c r="C71" i="30"/>
  <c r="B71" i="30"/>
  <c r="A71" i="30"/>
  <c r="G70" i="30"/>
  <c r="E70" i="30"/>
  <c r="D70" i="30"/>
  <c r="F70" i="30" s="1"/>
  <c r="H70" i="30" s="1"/>
  <c r="C70" i="30"/>
  <c r="B70" i="30"/>
  <c r="A70" i="30"/>
  <c r="G69" i="30"/>
  <c r="E69" i="30"/>
  <c r="D69" i="30"/>
  <c r="C69" i="30"/>
  <c r="B69" i="30"/>
  <c r="A69" i="30"/>
  <c r="H68" i="30"/>
  <c r="G68" i="30"/>
  <c r="E68" i="30"/>
  <c r="D68" i="30"/>
  <c r="F68" i="30" s="1"/>
  <c r="C68" i="30"/>
  <c r="B68" i="30"/>
  <c r="A68" i="30"/>
  <c r="H67" i="30"/>
  <c r="G67" i="30"/>
  <c r="E67" i="30"/>
  <c r="D67" i="30"/>
  <c r="F67" i="30" s="1"/>
  <c r="C67" i="30"/>
  <c r="B67" i="30"/>
  <c r="A67" i="30"/>
  <c r="G66" i="30"/>
  <c r="E66" i="30"/>
  <c r="D66" i="30"/>
  <c r="C66" i="30"/>
  <c r="B66" i="30"/>
  <c r="A66" i="30"/>
  <c r="G65" i="30"/>
  <c r="E65" i="30"/>
  <c r="D65" i="30"/>
  <c r="F65" i="30" s="1"/>
  <c r="H65" i="30" s="1"/>
  <c r="C65" i="30"/>
  <c r="B65" i="30"/>
  <c r="A65" i="30"/>
  <c r="G64" i="30"/>
  <c r="E64" i="30"/>
  <c r="D64" i="30"/>
  <c r="C64" i="30"/>
  <c r="B64" i="30"/>
  <c r="A64" i="30"/>
  <c r="G63" i="30"/>
  <c r="E63" i="30"/>
  <c r="D63" i="30"/>
  <c r="F63" i="30" s="1"/>
  <c r="H63" i="30" s="1"/>
  <c r="C63" i="30"/>
  <c r="B63" i="30"/>
  <c r="A63" i="30"/>
  <c r="G62" i="30"/>
  <c r="E62" i="30"/>
  <c r="D62" i="30"/>
  <c r="F62" i="30" s="1"/>
  <c r="H62" i="30" s="1"/>
  <c r="C62" i="30"/>
  <c r="B62" i="30"/>
  <c r="A62" i="30"/>
  <c r="G61" i="30"/>
  <c r="E61" i="30"/>
  <c r="D61" i="30"/>
  <c r="C61" i="30"/>
  <c r="B61" i="30"/>
  <c r="A61" i="30"/>
  <c r="H60" i="30"/>
  <c r="G60" i="30"/>
  <c r="E60" i="30"/>
  <c r="D60" i="30"/>
  <c r="F60" i="30" s="1"/>
  <c r="C60" i="30"/>
  <c r="B60" i="30"/>
  <c r="A60" i="30"/>
  <c r="H59" i="30"/>
  <c r="G59" i="30"/>
  <c r="E59" i="30"/>
  <c r="D59" i="30"/>
  <c r="F59" i="30" s="1"/>
  <c r="C59" i="30"/>
  <c r="B59" i="30"/>
  <c r="A59" i="30"/>
  <c r="G58" i="30"/>
  <c r="E58" i="30"/>
  <c r="D58" i="30"/>
  <c r="C58" i="30"/>
  <c r="B58" i="30"/>
  <c r="A58" i="30"/>
  <c r="G57" i="30"/>
  <c r="E57" i="30"/>
  <c r="D57" i="30"/>
  <c r="F57" i="30" s="1"/>
  <c r="H57" i="30" s="1"/>
  <c r="C57" i="30"/>
  <c r="B57" i="30"/>
  <c r="A57" i="30"/>
  <c r="G56" i="30"/>
  <c r="E56" i="30"/>
  <c r="D56" i="30"/>
  <c r="C56" i="30"/>
  <c r="B56" i="30"/>
  <c r="A56" i="30"/>
  <c r="G55" i="30"/>
  <c r="E55" i="30"/>
  <c r="D55" i="30"/>
  <c r="F55" i="30" s="1"/>
  <c r="H55" i="30" s="1"/>
  <c r="C55" i="30"/>
  <c r="B55" i="30"/>
  <c r="A55" i="30"/>
  <c r="G54" i="30"/>
  <c r="E54" i="30"/>
  <c r="D54" i="30"/>
  <c r="F54" i="30" s="1"/>
  <c r="H54" i="30" s="1"/>
  <c r="C54" i="30"/>
  <c r="B54" i="30"/>
  <c r="A54" i="30"/>
  <c r="G53" i="30"/>
  <c r="E53" i="30"/>
  <c r="D53" i="30"/>
  <c r="F53" i="30" s="1"/>
  <c r="H53" i="30" s="1"/>
  <c r="C53" i="30"/>
  <c r="B53" i="30"/>
  <c r="A53" i="30"/>
  <c r="G52" i="30"/>
  <c r="E52" i="30"/>
  <c r="D52" i="30"/>
  <c r="F52" i="30" s="1"/>
  <c r="H52" i="30" s="1"/>
  <c r="C52" i="30"/>
  <c r="B52" i="30"/>
  <c r="A52" i="30"/>
  <c r="G51" i="30"/>
  <c r="E51" i="30"/>
  <c r="D51" i="30"/>
  <c r="F51" i="30" s="1"/>
  <c r="H51" i="30" s="1"/>
  <c r="C51" i="30"/>
  <c r="B51" i="30"/>
  <c r="A51" i="30"/>
  <c r="G50" i="30"/>
  <c r="E50" i="30"/>
  <c r="D50" i="30"/>
  <c r="F50" i="30" s="1"/>
  <c r="H50" i="30" s="1"/>
  <c r="C50" i="30"/>
  <c r="B50" i="30"/>
  <c r="A50" i="30"/>
  <c r="G49" i="30"/>
  <c r="E49" i="30"/>
  <c r="D49" i="30"/>
  <c r="F49" i="30" s="1"/>
  <c r="H49" i="30" s="1"/>
  <c r="C49" i="30"/>
  <c r="B49" i="30"/>
  <c r="A49" i="30"/>
  <c r="G48" i="30"/>
  <c r="E48" i="30"/>
  <c r="D48" i="30"/>
  <c r="F48" i="30" s="1"/>
  <c r="H48" i="30" s="1"/>
  <c r="C48" i="30"/>
  <c r="B48" i="30"/>
  <c r="A48" i="30"/>
  <c r="G47" i="30"/>
  <c r="E47" i="30"/>
  <c r="D47" i="30"/>
  <c r="F47" i="30" s="1"/>
  <c r="H47" i="30" s="1"/>
  <c r="C47" i="30"/>
  <c r="B47" i="30"/>
  <c r="A47" i="30"/>
  <c r="G46" i="30"/>
  <c r="E46" i="30"/>
  <c r="D46" i="30"/>
  <c r="F46" i="30" s="1"/>
  <c r="H46" i="30" s="1"/>
  <c r="C46" i="30"/>
  <c r="B46" i="30"/>
  <c r="A46" i="30"/>
  <c r="G45" i="30"/>
  <c r="E45" i="30"/>
  <c r="D45" i="30"/>
  <c r="F45" i="30" s="1"/>
  <c r="H45" i="30" s="1"/>
  <c r="C45" i="30"/>
  <c r="B45" i="30"/>
  <c r="A45" i="30"/>
  <c r="G44" i="30"/>
  <c r="E44" i="30"/>
  <c r="D44" i="30"/>
  <c r="F44" i="30" s="1"/>
  <c r="H44" i="30" s="1"/>
  <c r="C44" i="30"/>
  <c r="B44" i="30"/>
  <c r="A44" i="30"/>
  <c r="G43" i="30"/>
  <c r="E43" i="30"/>
  <c r="D43" i="30"/>
  <c r="F43" i="30" s="1"/>
  <c r="H43" i="30" s="1"/>
  <c r="C43" i="30"/>
  <c r="B43" i="30"/>
  <c r="A43" i="30"/>
  <c r="G42" i="30"/>
  <c r="E42" i="30"/>
  <c r="D42" i="30"/>
  <c r="F42" i="30" s="1"/>
  <c r="H42" i="30" s="1"/>
  <c r="C42" i="30"/>
  <c r="B42" i="30"/>
  <c r="A42" i="30"/>
  <c r="G41" i="30"/>
  <c r="E41" i="30"/>
  <c r="D41" i="30"/>
  <c r="F41" i="30" s="1"/>
  <c r="H41" i="30" s="1"/>
  <c r="C41" i="30"/>
  <c r="B41" i="30"/>
  <c r="A41" i="30"/>
  <c r="G40" i="30"/>
  <c r="E40" i="30"/>
  <c r="D40" i="30"/>
  <c r="F40" i="30" s="1"/>
  <c r="H40" i="30" s="1"/>
  <c r="C40" i="30"/>
  <c r="B40" i="30"/>
  <c r="A40" i="30"/>
  <c r="G39" i="30"/>
  <c r="E39" i="30"/>
  <c r="D39" i="30"/>
  <c r="F39" i="30" s="1"/>
  <c r="H39" i="30" s="1"/>
  <c r="C39" i="30"/>
  <c r="B39" i="30"/>
  <c r="A39" i="30"/>
  <c r="G38" i="30"/>
  <c r="E38" i="30"/>
  <c r="D38" i="30"/>
  <c r="F38" i="30" s="1"/>
  <c r="H38" i="30" s="1"/>
  <c r="C38" i="30"/>
  <c r="B38" i="30"/>
  <c r="A38" i="30"/>
  <c r="G37" i="30"/>
  <c r="E37" i="30"/>
  <c r="D37" i="30"/>
  <c r="F37" i="30" s="1"/>
  <c r="H37" i="30" s="1"/>
  <c r="C37" i="30"/>
  <c r="B37" i="30"/>
  <c r="A37" i="30"/>
  <c r="G36" i="30"/>
  <c r="E36" i="30"/>
  <c r="D36" i="30"/>
  <c r="F36" i="30" s="1"/>
  <c r="H36" i="30" s="1"/>
  <c r="C36" i="30"/>
  <c r="B36" i="30"/>
  <c r="A36" i="30"/>
  <c r="G35" i="30"/>
  <c r="E35" i="30"/>
  <c r="D35" i="30"/>
  <c r="F35" i="30" s="1"/>
  <c r="H35" i="30" s="1"/>
  <c r="C35" i="30"/>
  <c r="B35" i="30"/>
  <c r="A35" i="30"/>
  <c r="G34" i="30"/>
  <c r="E34" i="30"/>
  <c r="D34" i="30"/>
  <c r="F34" i="30" s="1"/>
  <c r="H34" i="30" s="1"/>
  <c r="C34" i="30"/>
  <c r="A34" i="30"/>
  <c r="G33" i="30"/>
  <c r="E33" i="30"/>
  <c r="D33" i="30"/>
  <c r="F33" i="30" s="1"/>
  <c r="H33" i="30" s="1"/>
  <c r="C33" i="30"/>
  <c r="B33" i="30"/>
  <c r="A33" i="30"/>
  <c r="G32" i="30"/>
  <c r="E32" i="30"/>
  <c r="D32" i="30"/>
  <c r="F32" i="30" s="1"/>
  <c r="H32" i="30" s="1"/>
  <c r="C32" i="30"/>
  <c r="A32" i="30"/>
  <c r="G31" i="30"/>
  <c r="E31" i="30"/>
  <c r="F31" i="30" s="1"/>
  <c r="H31" i="30" s="1"/>
  <c r="C31" i="30"/>
  <c r="A31" i="30"/>
  <c r="G30" i="30"/>
  <c r="E30" i="30"/>
  <c r="D30" i="30"/>
  <c r="F30" i="30" s="1"/>
  <c r="H30" i="30" s="1"/>
  <c r="C30" i="30"/>
  <c r="A30" i="30"/>
  <c r="G29" i="30"/>
  <c r="E29" i="30"/>
  <c r="D29" i="30"/>
  <c r="F29" i="30" s="1"/>
  <c r="H29" i="30" s="1"/>
  <c r="C29" i="30"/>
  <c r="A29" i="30"/>
  <c r="G28" i="30"/>
  <c r="E28" i="30"/>
  <c r="D28" i="30"/>
  <c r="F28" i="30" s="1"/>
  <c r="H28" i="30" s="1"/>
  <c r="C28" i="30"/>
  <c r="A28" i="30"/>
  <c r="G27" i="30"/>
  <c r="E27" i="30"/>
  <c r="D27" i="30"/>
  <c r="F27" i="30" s="1"/>
  <c r="H27" i="30" s="1"/>
  <c r="C27" i="30"/>
  <c r="B27" i="30"/>
  <c r="A27" i="30"/>
  <c r="G26" i="30"/>
  <c r="E26" i="30"/>
  <c r="D26" i="30"/>
  <c r="F26" i="30" s="1"/>
  <c r="H26" i="30" s="1"/>
  <c r="C26" i="30"/>
  <c r="B26" i="30"/>
  <c r="A26" i="30"/>
  <c r="G25" i="30"/>
  <c r="E25" i="30"/>
  <c r="F25" i="30" s="1"/>
  <c r="H25" i="30" s="1"/>
  <c r="C25" i="30"/>
  <c r="B25" i="30"/>
  <c r="A25" i="30"/>
  <c r="H24" i="30"/>
  <c r="G24" i="30"/>
  <c r="F24" i="30"/>
  <c r="D24" i="30"/>
  <c r="C24" i="30"/>
  <c r="B24" i="30"/>
  <c r="A24" i="30"/>
  <c r="H23" i="30"/>
  <c r="G23" i="30"/>
  <c r="F23" i="30"/>
  <c r="D23" i="30"/>
  <c r="C23" i="30"/>
  <c r="B23" i="30"/>
  <c r="A23" i="30"/>
  <c r="H22" i="30"/>
  <c r="G22" i="30"/>
  <c r="F22" i="30"/>
  <c r="D22" i="30"/>
  <c r="C22" i="30"/>
  <c r="B22" i="30"/>
  <c r="A22" i="30"/>
  <c r="H21" i="30"/>
  <c r="G21" i="30"/>
  <c r="F21" i="30"/>
  <c r="D21" i="30"/>
  <c r="C21" i="30"/>
  <c r="B21" i="30"/>
  <c r="A21" i="30"/>
  <c r="H20" i="30"/>
  <c r="G20" i="30"/>
  <c r="F20" i="30"/>
  <c r="D20" i="30"/>
  <c r="C20" i="30"/>
  <c r="B20" i="30"/>
  <c r="A20" i="30"/>
  <c r="H19" i="30"/>
  <c r="G19" i="30"/>
  <c r="F19" i="30"/>
  <c r="D19" i="30"/>
  <c r="C19" i="30"/>
  <c r="B19" i="30"/>
  <c r="A19" i="30"/>
  <c r="H18" i="30"/>
  <c r="G18" i="30"/>
  <c r="F18" i="30"/>
  <c r="D18" i="30"/>
  <c r="C18" i="30"/>
  <c r="B18" i="30"/>
  <c r="A18" i="30"/>
  <c r="H17" i="30"/>
  <c r="G17" i="30"/>
  <c r="F17" i="30"/>
  <c r="D17" i="30"/>
  <c r="C17" i="30"/>
  <c r="B17" i="30"/>
  <c r="A17" i="30"/>
  <c r="H16" i="30"/>
  <c r="G16" i="30"/>
  <c r="F16" i="30"/>
  <c r="D16" i="30"/>
  <c r="C16" i="30"/>
  <c r="B16" i="30"/>
  <c r="A16" i="30"/>
  <c r="H15" i="30"/>
  <c r="G15" i="30"/>
  <c r="F15" i="30"/>
  <c r="D15" i="30"/>
  <c r="C15" i="30"/>
  <c r="B15" i="30"/>
  <c r="A15" i="30"/>
  <c r="H14" i="30"/>
  <c r="G14" i="30"/>
  <c r="F14" i="30"/>
  <c r="D14" i="30"/>
  <c r="C14" i="30"/>
  <c r="B14" i="30"/>
  <c r="A14" i="30"/>
  <c r="DB29" i="4"/>
  <c r="E29" i="4"/>
  <c r="A29" i="4"/>
  <c r="DB28" i="4"/>
  <c r="A28" i="4"/>
  <c r="DB27" i="4"/>
  <c r="A27" i="4"/>
  <c r="DB26" i="4"/>
  <c r="A26" i="4"/>
  <c r="DB25" i="4"/>
  <c r="S25" i="4"/>
  <c r="A25" i="4"/>
  <c r="DB24" i="4"/>
  <c r="S24" i="4"/>
  <c r="A24" i="4"/>
  <c r="DB23" i="4"/>
  <c r="S23" i="4"/>
  <c r="A23" i="4"/>
  <c r="DB22" i="4"/>
  <c r="S22" i="4"/>
  <c r="B34" i="30" s="1"/>
  <c r="A22" i="4"/>
  <c r="DB21" i="4"/>
  <c r="S21" i="4"/>
  <c r="A21" i="4"/>
  <c r="DB20" i="4"/>
  <c r="S20" i="4"/>
  <c r="B32" i="30" s="1"/>
  <c r="A20" i="4"/>
  <c r="DB19" i="4"/>
  <c r="S19" i="4"/>
  <c r="B31" i="30" s="1"/>
  <c r="A19" i="4"/>
  <c r="DB18" i="4"/>
  <c r="S18" i="4"/>
  <c r="B30" i="30" s="1"/>
  <c r="A18" i="4"/>
  <c r="DB17" i="4"/>
  <c r="S17" i="4"/>
  <c r="B29" i="30" s="1"/>
  <c r="A17" i="4"/>
  <c r="DB16" i="4"/>
  <c r="S16" i="4"/>
  <c r="B28" i="30" s="1"/>
  <c r="A16" i="4"/>
  <c r="DC15" i="4"/>
  <c r="DB15" i="4"/>
  <c r="DA15" i="4"/>
  <c r="CX15" i="4"/>
  <c r="CW15" i="4"/>
  <c r="A15" i="4"/>
  <c r="DC14" i="4"/>
  <c r="DB14" i="4"/>
  <c r="DA14" i="4"/>
  <c r="CX14" i="4"/>
  <c r="CW14" i="4"/>
  <c r="A14" i="4"/>
  <c r="DC13" i="4"/>
  <c r="DB13" i="4"/>
  <c r="DA13" i="4"/>
  <c r="CX13" i="4"/>
  <c r="CW13" i="4"/>
  <c r="A13" i="4"/>
  <c r="DB12" i="4"/>
  <c r="CX12" i="4"/>
  <c r="CW12" i="4"/>
  <c r="A12" i="4"/>
  <c r="DB11" i="4"/>
  <c r="CX11" i="4"/>
  <c r="CW11" i="4"/>
  <c r="A11" i="4"/>
  <c r="DB10" i="4"/>
  <c r="CX10" i="4"/>
  <c r="CW10" i="4"/>
  <c r="A10" i="4"/>
  <c r="DB9" i="4"/>
  <c r="CX9" i="4"/>
  <c r="CW9" i="4"/>
  <c r="A9" i="4"/>
  <c r="DB8" i="4"/>
  <c r="CX8" i="4"/>
  <c r="CW8" i="4"/>
  <c r="A8" i="4"/>
  <c r="DB7" i="4"/>
  <c r="CX7" i="4"/>
  <c r="CW7" i="4"/>
  <c r="A7" i="4"/>
  <c r="DB6" i="4"/>
  <c r="CX6" i="4"/>
  <c r="CW6" i="4"/>
  <c r="A6" i="4"/>
  <c r="DB5" i="4"/>
  <c r="CX5" i="4"/>
  <c r="CW5" i="4"/>
  <c r="A5" i="4"/>
  <c r="DB4" i="4"/>
  <c r="CX4" i="4"/>
  <c r="CW4" i="4"/>
  <c r="A4" i="4"/>
  <c r="DB3" i="4"/>
  <c r="CX3" i="4"/>
  <c r="CW3" i="4"/>
  <c r="A3" i="4"/>
  <c r="DB2" i="4"/>
  <c r="CX2" i="4"/>
  <c r="CW2" i="4"/>
  <c r="A2" i="4"/>
  <c r="C1" i="4"/>
  <c r="D17" i="1"/>
  <c r="D13" i="1"/>
  <c r="D11" i="1"/>
  <c r="C7" i="36" s="1"/>
  <c r="D10" i="1"/>
  <c r="C6" i="36" s="1"/>
  <c r="D9" i="1"/>
  <c r="E8" i="1"/>
  <c r="DC72" i="7"/>
  <c r="J72" i="7"/>
  <c r="F72" i="7"/>
  <c r="E72" i="7"/>
  <c r="A72" i="7"/>
  <c r="DC71" i="7"/>
  <c r="J71" i="7"/>
  <c r="F71" i="7"/>
  <c r="E71" i="7"/>
  <c r="A71" i="7"/>
  <c r="DC70" i="7"/>
  <c r="J70" i="7"/>
  <c r="F70" i="7"/>
  <c r="E70" i="7"/>
  <c r="A70" i="7"/>
  <c r="DC69" i="7"/>
  <c r="J69" i="7"/>
  <c r="F69" i="7"/>
  <c r="E69" i="7"/>
  <c r="A69" i="7"/>
  <c r="DC68" i="7"/>
  <c r="J68" i="7"/>
  <c r="F68" i="7"/>
  <c r="E68" i="7"/>
  <c r="A68" i="7"/>
  <c r="DC67" i="7"/>
  <c r="J67" i="7"/>
  <c r="F67" i="7"/>
  <c r="E67" i="7"/>
  <c r="A67" i="7"/>
  <c r="DC66" i="7"/>
  <c r="J66" i="7"/>
  <c r="F66" i="7"/>
  <c r="E66" i="7"/>
  <c r="A66" i="7"/>
  <c r="DC65" i="7"/>
  <c r="J65" i="7"/>
  <c r="F65" i="7"/>
  <c r="E65" i="7"/>
  <c r="A65" i="7"/>
  <c r="DC64" i="7"/>
  <c r="J64" i="7"/>
  <c r="F64" i="7"/>
  <c r="E64" i="7"/>
  <c r="A64" i="7"/>
  <c r="DC63" i="7"/>
  <c r="J63" i="7"/>
  <c r="F63" i="7"/>
  <c r="E63" i="7"/>
  <c r="A63" i="7"/>
  <c r="DC62" i="7"/>
  <c r="J62" i="7"/>
  <c r="F62" i="7"/>
  <c r="E62" i="7"/>
  <c r="A62" i="7"/>
  <c r="DC61" i="7"/>
  <c r="J61" i="7"/>
  <c r="F61" i="7"/>
  <c r="E61" i="7"/>
  <c r="A61" i="7"/>
  <c r="DC60" i="7"/>
  <c r="J60" i="7"/>
  <c r="F60" i="7"/>
  <c r="E60" i="7"/>
  <c r="A60" i="7"/>
  <c r="DC59" i="7"/>
  <c r="J59" i="7"/>
  <c r="F59" i="7"/>
  <c r="E59" i="7"/>
  <c r="A59" i="7"/>
  <c r="DC58" i="7"/>
  <c r="J58" i="7"/>
  <c r="F58" i="7"/>
  <c r="E58" i="7"/>
  <c r="A58" i="7"/>
  <c r="DC57" i="7"/>
  <c r="J57" i="7"/>
  <c r="F57" i="7"/>
  <c r="E57" i="7"/>
  <c r="A57" i="7"/>
  <c r="DC56" i="7"/>
  <c r="J56" i="7"/>
  <c r="F56" i="7"/>
  <c r="E56" i="7"/>
  <c r="A56" i="7"/>
  <c r="DC55" i="7"/>
  <c r="J55" i="7"/>
  <c r="F55" i="7"/>
  <c r="E55" i="7"/>
  <c r="A55" i="7"/>
  <c r="DC54" i="7"/>
  <c r="J54" i="7"/>
  <c r="F54" i="7"/>
  <c r="E54" i="7"/>
  <c r="A54" i="7"/>
  <c r="DC53" i="7"/>
  <c r="J53" i="7"/>
  <c r="F53" i="7"/>
  <c r="E53" i="7"/>
  <c r="A53" i="7"/>
  <c r="DC52" i="7"/>
  <c r="J52" i="7"/>
  <c r="F52" i="7"/>
  <c r="E52" i="7"/>
  <c r="A52" i="7"/>
  <c r="DC51" i="7"/>
  <c r="J51" i="7"/>
  <c r="F51" i="7"/>
  <c r="E51" i="7"/>
  <c r="A51" i="7"/>
  <c r="DC50" i="7"/>
  <c r="J50" i="7"/>
  <c r="F50" i="7"/>
  <c r="E50" i="7"/>
  <c r="A50" i="7"/>
  <c r="DC49" i="7"/>
  <c r="J49" i="7"/>
  <c r="F49" i="7"/>
  <c r="E49" i="7"/>
  <c r="A49" i="7"/>
  <c r="DC48" i="7"/>
  <c r="J48" i="7"/>
  <c r="F48" i="7"/>
  <c r="E48" i="7"/>
  <c r="A48" i="7"/>
  <c r="DC47" i="7"/>
  <c r="J47" i="7"/>
  <c r="F47" i="7"/>
  <c r="E47" i="7"/>
  <c r="A47" i="7"/>
  <c r="DC46" i="7"/>
  <c r="J46" i="7"/>
  <c r="F46" i="7"/>
  <c r="E46" i="7"/>
  <c r="A46" i="7"/>
  <c r="DC45" i="7"/>
  <c r="J45" i="7"/>
  <c r="F45" i="7"/>
  <c r="E45" i="7"/>
  <c r="A45" i="7"/>
  <c r="DC44" i="7"/>
  <c r="J44" i="7"/>
  <c r="F44" i="7"/>
  <c r="E44" i="7"/>
  <c r="A44" i="7"/>
  <c r="DC43" i="7"/>
  <c r="J43" i="7"/>
  <c r="F43" i="7"/>
  <c r="E43" i="7"/>
  <c r="A43" i="7"/>
  <c r="DC42" i="7"/>
  <c r="J42" i="7"/>
  <c r="F42" i="7"/>
  <c r="E42" i="7"/>
  <c r="A42" i="7"/>
  <c r="DC41" i="7"/>
  <c r="J41" i="7"/>
  <c r="F41" i="7"/>
  <c r="E41" i="7"/>
  <c r="A41" i="7"/>
  <c r="DC40" i="7"/>
  <c r="J40" i="7"/>
  <c r="F40" i="7"/>
  <c r="E40" i="7"/>
  <c r="A40" i="7"/>
  <c r="DC39" i="7"/>
  <c r="J39" i="7"/>
  <c r="F39" i="7"/>
  <c r="E39" i="7"/>
  <c r="A39" i="7"/>
  <c r="DC38" i="7"/>
  <c r="J38" i="7"/>
  <c r="F38" i="7"/>
  <c r="E38" i="7"/>
  <c r="A38" i="7"/>
  <c r="DC37" i="7"/>
  <c r="J37" i="7"/>
  <c r="F37" i="7"/>
  <c r="E37" i="7"/>
  <c r="A37" i="7"/>
  <c r="DC36" i="7"/>
  <c r="J36" i="7"/>
  <c r="F36" i="7"/>
  <c r="E36" i="7"/>
  <c r="A36" i="7"/>
  <c r="DC35" i="7"/>
  <c r="J35" i="7"/>
  <c r="F35" i="7"/>
  <c r="E35" i="7"/>
  <c r="A35" i="7"/>
  <c r="DC34" i="7"/>
  <c r="J34" i="7"/>
  <c r="F34" i="7"/>
  <c r="E34" i="7"/>
  <c r="A34" i="7"/>
  <c r="DC33" i="7"/>
  <c r="J33" i="7"/>
  <c r="F33" i="7"/>
  <c r="E33" i="7"/>
  <c r="A33" i="7"/>
  <c r="DC32" i="7"/>
  <c r="J32" i="7"/>
  <c r="F32" i="7"/>
  <c r="E32" i="7"/>
  <c r="A32" i="7"/>
  <c r="DC31" i="7"/>
  <c r="J31" i="7"/>
  <c r="F31" i="7"/>
  <c r="E31" i="7"/>
  <c r="A31" i="7"/>
  <c r="DC30" i="7"/>
  <c r="J30" i="7"/>
  <c r="F30" i="7"/>
  <c r="E30" i="7"/>
  <c r="A30" i="7"/>
  <c r="DC29" i="7"/>
  <c r="J29" i="7"/>
  <c r="F29" i="7"/>
  <c r="E29" i="7"/>
  <c r="A29" i="7"/>
  <c r="DC28" i="7"/>
  <c r="J28" i="7"/>
  <c r="F28" i="7"/>
  <c r="E28" i="7"/>
  <c r="A28" i="7"/>
  <c r="DC27" i="7"/>
  <c r="J27" i="7"/>
  <c r="F27" i="7"/>
  <c r="E27" i="7"/>
  <c r="A27" i="7"/>
  <c r="DC26" i="7"/>
  <c r="J26" i="7"/>
  <c r="F26" i="7"/>
  <c r="E26" i="7"/>
  <c r="A26" i="7"/>
  <c r="DC25" i="7"/>
  <c r="J25" i="7"/>
  <c r="F25" i="7"/>
  <c r="E25" i="7"/>
  <c r="A25" i="7"/>
  <c r="DC24" i="7"/>
  <c r="J24" i="7"/>
  <c r="F24" i="7"/>
  <c r="E24" i="7"/>
  <c r="A24" i="7"/>
  <c r="DC23" i="7"/>
  <c r="J23" i="7"/>
  <c r="F23" i="7"/>
  <c r="E23" i="7"/>
  <c r="A23" i="7"/>
  <c r="DC22" i="7"/>
  <c r="J22" i="7"/>
  <c r="F22" i="7"/>
  <c r="E22" i="7"/>
  <c r="A22" i="7"/>
  <c r="DC21" i="7"/>
  <c r="J21" i="7"/>
  <c r="F21" i="7"/>
  <c r="E21" i="7"/>
  <c r="A21" i="7"/>
  <c r="DC20" i="7"/>
  <c r="J20" i="7"/>
  <c r="F20" i="7"/>
  <c r="E20" i="7"/>
  <c r="A20" i="7"/>
  <c r="DC19" i="7"/>
  <c r="J19" i="7"/>
  <c r="F19" i="7"/>
  <c r="E19" i="7"/>
  <c r="A19" i="7"/>
  <c r="DC18" i="7"/>
  <c r="J18" i="7"/>
  <c r="F18" i="7"/>
  <c r="E18" i="7"/>
  <c r="A18" i="7"/>
  <c r="DC17" i="7"/>
  <c r="J17" i="7"/>
  <c r="F17" i="7"/>
  <c r="E17" i="7"/>
  <c r="A17" i="7"/>
  <c r="DC16" i="7"/>
  <c r="J16" i="7"/>
  <c r="F16" i="7"/>
  <c r="E16" i="7"/>
  <c r="A16" i="7"/>
  <c r="DC15" i="7"/>
  <c r="J15" i="7"/>
  <c r="F15" i="7"/>
  <c r="E15" i="7"/>
  <c r="A15" i="7"/>
  <c r="DC14" i="7"/>
  <c r="J14" i="7"/>
  <c r="F14" i="7"/>
  <c r="E14" i="7"/>
  <c r="A14" i="7"/>
  <c r="DC13" i="7"/>
  <c r="J13" i="7"/>
  <c r="H13" i="7"/>
  <c r="F13" i="7"/>
  <c r="E13" i="7"/>
  <c r="D13" i="7"/>
  <c r="C13" i="7"/>
  <c r="A13" i="7"/>
  <c r="DC12" i="7"/>
  <c r="J12" i="7"/>
  <c r="N12" i="7" s="1"/>
  <c r="E12" i="7"/>
  <c r="A12" i="7"/>
  <c r="DC11" i="7"/>
  <c r="J11" i="7"/>
  <c r="E214" i="30" s="1"/>
  <c r="F214" i="30" s="1"/>
  <c r="E11" i="7"/>
  <c r="A11" i="7"/>
  <c r="DC10" i="7"/>
  <c r="J10" i="7"/>
  <c r="E213" i="30" s="1"/>
  <c r="F213" i="30" s="1"/>
  <c r="E10" i="7"/>
  <c r="A10" i="7"/>
  <c r="DC9" i="7"/>
  <c r="J9" i="7"/>
  <c r="E212" i="30" s="1"/>
  <c r="F212" i="30" s="1"/>
  <c r="E9" i="7"/>
  <c r="A9" i="7"/>
  <c r="DC8" i="7"/>
  <c r="J8" i="7"/>
  <c r="M8" i="7" s="1"/>
  <c r="E8" i="7"/>
  <c r="A8" i="7"/>
  <c r="DC7" i="7"/>
  <c r="N7" i="7"/>
  <c r="J7" i="7"/>
  <c r="E210" i="30" s="1"/>
  <c r="F210" i="30" s="1"/>
  <c r="E7" i="7"/>
  <c r="A7" i="7"/>
  <c r="DC6" i="7"/>
  <c r="J6" i="7"/>
  <c r="E209" i="30" s="1"/>
  <c r="F209" i="30" s="1"/>
  <c r="E6" i="7"/>
  <c r="A6" i="7"/>
  <c r="DC5" i="7"/>
  <c r="J5" i="7"/>
  <c r="N5" i="7" s="1"/>
  <c r="E5" i="7"/>
  <c r="A5" i="7"/>
  <c r="DC4" i="7"/>
  <c r="J4" i="7"/>
  <c r="M4" i="7" s="1"/>
  <c r="E4" i="7"/>
  <c r="A4" i="7"/>
  <c r="DC3" i="7"/>
  <c r="J3" i="7"/>
  <c r="M3" i="7" s="1"/>
  <c r="E3" i="7"/>
  <c r="A3" i="7"/>
  <c r="DC2" i="7"/>
  <c r="J2" i="7"/>
  <c r="E205" i="30" s="1"/>
  <c r="F205" i="30" s="1"/>
  <c r="E2" i="7"/>
  <c r="A2" i="7"/>
  <c r="DB15" i="2"/>
  <c r="F15" i="2"/>
  <c r="A15" i="2"/>
  <c r="DB14" i="2"/>
  <c r="F14" i="2"/>
  <c r="A14" i="2"/>
  <c r="DB13" i="2"/>
  <c r="F13" i="2"/>
  <c r="A13" i="2"/>
  <c r="DB12" i="2"/>
  <c r="F12" i="2"/>
  <c r="A12" i="2"/>
  <c r="DB11" i="2"/>
  <c r="F11" i="2"/>
  <c r="A11" i="2"/>
  <c r="DB10" i="2"/>
  <c r="CX10" i="2"/>
  <c r="CW10" i="2"/>
  <c r="U10" i="2"/>
  <c r="A10" i="2"/>
  <c r="DB9" i="2"/>
  <c r="CX9" i="2"/>
  <c r="CW9" i="2"/>
  <c r="U9" i="2"/>
  <c r="A9" i="2"/>
  <c r="DB8" i="2"/>
  <c r="CX8" i="2"/>
  <c r="CW8" i="2"/>
  <c r="U8" i="2"/>
  <c r="A8" i="2"/>
  <c r="DB7" i="2"/>
  <c r="CX7" i="2"/>
  <c r="CW7" i="2"/>
  <c r="U7" i="2"/>
  <c r="A7" i="2"/>
  <c r="DB6" i="2"/>
  <c r="CX6" i="2"/>
  <c r="CW6" i="2"/>
  <c r="U6" i="2"/>
  <c r="A6" i="2"/>
  <c r="DB5" i="2"/>
  <c r="CX5" i="2"/>
  <c r="CW5" i="2"/>
  <c r="U5" i="2"/>
  <c r="A5" i="2"/>
  <c r="DB4" i="2"/>
  <c r="CX4" i="2"/>
  <c r="CW4" i="2"/>
  <c r="U4" i="2"/>
  <c r="A4" i="2"/>
  <c r="DB3" i="2"/>
  <c r="CX3" i="2"/>
  <c r="CW3" i="2"/>
  <c r="U3" i="2"/>
  <c r="A3" i="2"/>
  <c r="DB2" i="2"/>
  <c r="CX2" i="2"/>
  <c r="CW2" i="2"/>
  <c r="U2" i="2"/>
  <c r="A2" i="2"/>
  <c r="DB10" i="5"/>
  <c r="CX10" i="5"/>
  <c r="CW10" i="5" s="1"/>
  <c r="AE10" i="5"/>
  <c r="DA10" i="5" s="1"/>
  <c r="DC10" i="5" s="1"/>
  <c r="A10" i="5"/>
  <c r="DB9" i="5"/>
  <c r="DA9" i="5"/>
  <c r="DG8" i="5" s="1"/>
  <c r="AE9" i="5"/>
  <c r="AF13" i="5" s="1"/>
  <c r="A9" i="5"/>
  <c r="DB8" i="5"/>
  <c r="DA8" i="5"/>
  <c r="DF8" i="5" s="1"/>
  <c r="CX8" i="5"/>
  <c r="CW8" i="5" s="1"/>
  <c r="AE8" i="5"/>
  <c r="A8" i="5"/>
  <c r="DB7" i="5"/>
  <c r="AE7" i="5"/>
  <c r="CX7" i="5" s="1"/>
  <c r="CW7" i="5" s="1"/>
  <c r="A7" i="5"/>
  <c r="DB6" i="5"/>
  <c r="AE6" i="5"/>
  <c r="CX6" i="5" s="1"/>
  <c r="CW6" i="5" s="1"/>
  <c r="A6" i="5"/>
  <c r="DB5" i="5"/>
  <c r="AE5" i="5"/>
  <c r="CX5" i="5" s="1"/>
  <c r="CW5" i="5" s="1"/>
  <c r="A5" i="5"/>
  <c r="DB4" i="5"/>
  <c r="CX4" i="5"/>
  <c r="CW4" i="5" s="1"/>
  <c r="AE4" i="5"/>
  <c r="A4" i="5"/>
  <c r="DB3" i="5"/>
  <c r="AE3" i="5"/>
  <c r="CX3" i="5" s="1"/>
  <c r="CW3" i="5" s="1"/>
  <c r="A3" i="5"/>
  <c r="DB2" i="5"/>
  <c r="CX2" i="5"/>
  <c r="CW2" i="5" s="1"/>
  <c r="AE2" i="5"/>
  <c r="A2" i="5"/>
  <c r="AV8" i="3"/>
  <c r="AE8" i="3"/>
  <c r="DB7" i="3"/>
  <c r="AE7" i="3"/>
  <c r="F7" i="3"/>
  <c r="A7" i="3"/>
  <c r="DB6" i="3"/>
  <c r="AE6" i="3"/>
  <c r="F6" i="3"/>
  <c r="A6" i="3"/>
  <c r="DB5" i="3"/>
  <c r="AE5" i="3"/>
  <c r="CX5" i="3" s="1"/>
  <c r="CW5" i="3" s="1"/>
  <c r="A5" i="3"/>
  <c r="DB4" i="3"/>
  <c r="AE4" i="3"/>
  <c r="CX4" i="3" s="1"/>
  <c r="CW4" i="3" s="1"/>
  <c r="A4" i="3"/>
  <c r="DB3" i="3"/>
  <c r="AE3" i="3"/>
  <c r="CX3" i="3" s="1"/>
  <c r="CW3" i="3" s="1"/>
  <c r="A3" i="3"/>
  <c r="DB2" i="3"/>
  <c r="CX2" i="3"/>
  <c r="CW2" i="3" s="1"/>
  <c r="AE2" i="3"/>
  <c r="A2" i="3"/>
  <c r="F28" i="6"/>
  <c r="A28" i="6"/>
  <c r="DB27" i="6"/>
  <c r="F27" i="6"/>
  <c r="A27" i="6"/>
  <c r="DB26" i="6"/>
  <c r="F26" i="6"/>
  <c r="A26" i="6"/>
  <c r="DB25" i="6"/>
  <c r="F25" i="6"/>
  <c r="A25" i="6"/>
  <c r="DB24" i="6"/>
  <c r="F24" i="6"/>
  <c r="A24" i="6"/>
  <c r="DB23" i="6"/>
  <c r="F23" i="6"/>
  <c r="A23" i="6"/>
  <c r="DB22" i="6"/>
  <c r="F22" i="6"/>
  <c r="A22" i="6"/>
  <c r="DB21" i="6"/>
  <c r="F21" i="6"/>
  <c r="A21" i="6"/>
  <c r="DB20" i="6"/>
  <c r="F20" i="6"/>
  <c r="A20" i="6"/>
  <c r="DB19" i="6"/>
  <c r="F19" i="6"/>
  <c r="A19" i="6"/>
  <c r="DB18" i="6"/>
  <c r="F18" i="6"/>
  <c r="A18" i="6"/>
  <c r="DB17" i="6"/>
  <c r="CX17" i="6"/>
  <c r="CW17" i="6"/>
  <c r="A17" i="6"/>
  <c r="DB16" i="6"/>
  <c r="CX16" i="6"/>
  <c r="CW16" i="6"/>
  <c r="A16" i="6"/>
  <c r="DB15" i="6"/>
  <c r="CX15" i="6"/>
  <c r="CW15" i="6"/>
  <c r="A15" i="6"/>
  <c r="DB14" i="6"/>
  <c r="CX14" i="6"/>
  <c r="CW14" i="6"/>
  <c r="A14" i="6"/>
  <c r="DB13" i="6"/>
  <c r="CX13" i="6"/>
  <c r="CW13" i="6"/>
  <c r="A13" i="6"/>
  <c r="DB12" i="6"/>
  <c r="CX12" i="6"/>
  <c r="CW12" i="6"/>
  <c r="A12" i="6"/>
  <c r="DB11" i="6"/>
  <c r="CX11" i="6"/>
  <c r="CW11" i="6"/>
  <c r="A11" i="6"/>
  <c r="DB10" i="6"/>
  <c r="CX10" i="6"/>
  <c r="CW10" i="6"/>
  <c r="A10" i="6"/>
  <c r="DB9" i="6"/>
  <c r="CX9" i="6"/>
  <c r="CW9" i="6"/>
  <c r="A9" i="6"/>
  <c r="DB8" i="6"/>
  <c r="CX8" i="6"/>
  <c r="CW8" i="6"/>
  <c r="A8" i="6"/>
  <c r="DB7" i="6"/>
  <c r="CX7" i="6"/>
  <c r="CW7" i="6"/>
  <c r="A7" i="6"/>
  <c r="DB6" i="6"/>
  <c r="CX6" i="6"/>
  <c r="CW6" i="6"/>
  <c r="A6" i="6"/>
  <c r="DB5" i="6"/>
  <c r="CX5" i="6"/>
  <c r="CW5" i="6"/>
  <c r="A5" i="6"/>
  <c r="DB4" i="6"/>
  <c r="CX4" i="6"/>
  <c r="CW4" i="6"/>
  <c r="A4" i="6"/>
  <c r="DB3" i="6"/>
  <c r="CX3" i="6"/>
  <c r="CW3" i="6"/>
  <c r="A3" i="6"/>
  <c r="DB2" i="6"/>
  <c r="CX2" i="6"/>
  <c r="CW2" i="6"/>
  <c r="A2" i="6"/>
  <c r="F79" i="30" l="1"/>
  <c r="H79" i="30" s="1"/>
  <c r="DC8" i="5"/>
  <c r="CX9" i="5"/>
  <c r="CW9" i="5" s="1"/>
  <c r="M7" i="7"/>
  <c r="F56" i="30"/>
  <c r="H56" i="30" s="1"/>
  <c r="F64" i="30"/>
  <c r="H64" i="30" s="1"/>
  <c r="F72" i="30"/>
  <c r="H72" i="30" s="1"/>
  <c r="F80" i="30"/>
  <c r="H80" i="30" s="1"/>
  <c r="F88" i="30"/>
  <c r="H88" i="30" s="1"/>
  <c r="F96" i="30"/>
  <c r="H96" i="30" s="1"/>
  <c r="F104" i="30"/>
  <c r="H104" i="30" s="1"/>
  <c r="F112" i="30"/>
  <c r="H112" i="30" s="1"/>
  <c r="F120" i="30"/>
  <c r="H120" i="30" s="1"/>
  <c r="F128" i="30"/>
  <c r="H128" i="30" s="1"/>
  <c r="F136" i="30"/>
  <c r="H136" i="30" s="1"/>
  <c r="F163" i="30"/>
  <c r="H163" i="30" s="1"/>
  <c r="D12" i="1"/>
  <c r="D6" i="19" s="1"/>
  <c r="DC9" i="5"/>
  <c r="N6" i="7"/>
  <c r="F61" i="30"/>
  <c r="H61" i="30" s="1"/>
  <c r="F69" i="30"/>
  <c r="H69" i="30" s="1"/>
  <c r="F77" i="30"/>
  <c r="H77" i="30" s="1"/>
  <c r="F85" i="30"/>
  <c r="H85" i="30" s="1"/>
  <c r="F93" i="30"/>
  <c r="H93" i="30" s="1"/>
  <c r="F101" i="30"/>
  <c r="H101" i="30" s="1"/>
  <c r="F109" i="30"/>
  <c r="H109" i="30" s="1"/>
  <c r="F117" i="30"/>
  <c r="H117" i="30" s="1"/>
  <c r="F157" i="30"/>
  <c r="H157" i="30" s="1"/>
  <c r="F58" i="30"/>
  <c r="H58" i="30" s="1"/>
  <c r="F66" i="30"/>
  <c r="H66" i="30" s="1"/>
  <c r="F74" i="30"/>
  <c r="H74" i="30" s="1"/>
  <c r="F82" i="30"/>
  <c r="H82" i="30" s="1"/>
  <c r="F90" i="30"/>
  <c r="H90" i="30" s="1"/>
  <c r="F98" i="30"/>
  <c r="H98" i="30" s="1"/>
  <c r="F106" i="30"/>
  <c r="H106" i="30" s="1"/>
  <c r="F114" i="30"/>
  <c r="H114" i="30" s="1"/>
  <c r="F122" i="30"/>
  <c r="H122" i="30" s="1"/>
  <c r="F130" i="30"/>
  <c r="H130" i="30" s="1"/>
  <c r="F138" i="30"/>
  <c r="H138" i="30" s="1"/>
  <c r="F162" i="30"/>
  <c r="H162" i="30" s="1"/>
  <c r="F165" i="30"/>
  <c r="H165" i="30" s="1"/>
  <c r="F159" i="30"/>
  <c r="H159" i="30" s="1"/>
  <c r="F197" i="30"/>
  <c r="H197" i="30" s="1"/>
  <c r="M11" i="7"/>
  <c r="M10" i="7"/>
  <c r="N11" i="7"/>
  <c r="N3" i="7"/>
  <c r="N10" i="7"/>
  <c r="N2" i="7"/>
  <c r="M12" i="7"/>
  <c r="H212" i="30"/>
  <c r="H209" i="30"/>
  <c r="K224" i="30"/>
  <c r="H214" i="30"/>
  <c r="K180" i="30"/>
  <c r="L180" i="30" s="1"/>
  <c r="H168" i="30"/>
  <c r="K223" i="30"/>
  <c r="H213" i="30"/>
  <c r="H205" i="30"/>
  <c r="K148" i="30"/>
  <c r="L148" i="30" s="1"/>
  <c r="H144" i="30"/>
  <c r="H210" i="30"/>
  <c r="H158" i="30"/>
  <c r="K163" i="30"/>
  <c r="L163" i="30" s="1"/>
  <c r="K198" i="30"/>
  <c r="L198" i="30" s="1"/>
  <c r="M2" i="7"/>
  <c r="M6" i="7"/>
  <c r="E208" i="30"/>
  <c r="F208" i="30" s="1"/>
  <c r="E207" i="30"/>
  <c r="F207" i="30" s="1"/>
  <c r="N9" i="7"/>
  <c r="E206" i="30"/>
  <c r="F206" i="30" s="1"/>
  <c r="E215" i="30"/>
  <c r="F215" i="30" s="1"/>
  <c r="K220" i="30" s="1"/>
  <c r="M5" i="7"/>
  <c r="M9" i="7"/>
  <c r="N4" i="7"/>
  <c r="N8" i="7"/>
  <c r="E211" i="30"/>
  <c r="F211" i="30" s="1"/>
  <c r="E41" i="9"/>
  <c r="E154" i="9"/>
  <c r="E63" i="9"/>
  <c r="E87" i="9"/>
  <c r="C130" i="9"/>
  <c r="C21" i="9"/>
  <c r="D155" i="9"/>
  <c r="C155" i="9" s="1"/>
  <c r="D109" i="9"/>
  <c r="C109" i="9" s="1"/>
  <c r="D64" i="9"/>
  <c r="D42" i="9"/>
  <c r="C64" i="9"/>
  <c r="E108" i="9"/>
  <c r="E130" i="9"/>
  <c r="C87" i="9"/>
  <c r="C154" i="9"/>
  <c r="C108" i="9"/>
  <c r="C63" i="9"/>
  <c r="D131" i="9"/>
  <c r="C131" i="9" s="1"/>
  <c r="D88" i="9"/>
  <c r="C88" i="9" s="1"/>
  <c r="D22" i="9"/>
  <c r="C22" i="9" s="1"/>
  <c r="E21" i="9"/>
  <c r="F21" i="9" s="1"/>
  <c r="C41" i="9"/>
  <c r="C42" i="9"/>
  <c r="AI13" i="21"/>
  <c r="S16" i="39"/>
  <c r="AI11" i="21"/>
  <c r="AA16" i="34"/>
  <c r="S12" i="34"/>
  <c r="S16" i="34"/>
  <c r="AI12" i="21"/>
  <c r="AA11" i="39"/>
  <c r="AA11" i="34"/>
  <c r="S13" i="39"/>
  <c r="S13" i="34"/>
  <c r="S11" i="21"/>
  <c r="B7" i="37"/>
  <c r="B7" i="32"/>
  <c r="S11" i="34"/>
  <c r="K9" i="39"/>
  <c r="AA12" i="39"/>
  <c r="S8" i="21"/>
  <c r="AI8" i="21" s="1"/>
  <c r="AY8" i="21" s="1"/>
  <c r="K9" i="34"/>
  <c r="AA12" i="34"/>
  <c r="S8" i="39"/>
  <c r="AA8" i="39" s="1"/>
  <c r="AI8" i="39" s="1"/>
  <c r="AQ8" i="39" s="1"/>
  <c r="AA16" i="39"/>
  <c r="S12" i="21"/>
  <c r="D76" i="9"/>
  <c r="C76" i="9" s="1"/>
  <c r="C41" i="36"/>
  <c r="C40" i="36"/>
  <c r="C171" i="36"/>
  <c r="C170" i="36"/>
  <c r="C193" i="36"/>
  <c r="K12" i="39"/>
  <c r="AI16" i="21"/>
  <c r="C73" i="9"/>
  <c r="K12" i="21"/>
  <c r="K13" i="39"/>
  <c r="K13" i="34"/>
  <c r="AA13" i="39"/>
  <c r="AA13" i="34"/>
  <c r="B119" i="36"/>
  <c r="C16" i="40"/>
  <c r="D11" i="40" s="1"/>
  <c r="C18" i="32"/>
  <c r="D13" i="32" s="1"/>
  <c r="B139" i="36"/>
  <c r="C18" i="38"/>
  <c r="B183" i="36"/>
  <c r="B30" i="36"/>
  <c r="E42" i="36" s="1"/>
  <c r="B11" i="36"/>
  <c r="E26" i="36" s="1"/>
  <c r="F26" i="36" s="1"/>
  <c r="C16" i="41"/>
  <c r="D11" i="41" s="1"/>
  <c r="B161" i="36"/>
  <c r="B145" i="9"/>
  <c r="E156" i="9" s="1"/>
  <c r="B11" i="9"/>
  <c r="B7" i="36"/>
  <c r="C5" i="21"/>
  <c r="B4" i="17"/>
  <c r="B4" i="26"/>
  <c r="B4" i="19"/>
  <c r="B4" i="18"/>
  <c r="F4" i="18" s="1"/>
  <c r="C21" i="18" s="1"/>
  <c r="B4" i="42"/>
  <c r="B4" i="16"/>
  <c r="B4" i="40"/>
  <c r="B4" i="27"/>
  <c r="B4" i="32"/>
  <c r="B4" i="38"/>
  <c r="B4" i="37"/>
  <c r="B4" i="41"/>
  <c r="B4" i="8"/>
  <c r="C6" i="9"/>
  <c r="B31" i="9"/>
  <c r="B99" i="9"/>
  <c r="E110" i="9" s="1"/>
  <c r="D13" i="8"/>
  <c r="D14" i="8" s="1"/>
  <c r="D10" i="17"/>
  <c r="D11" i="17" s="1"/>
  <c r="D11" i="42"/>
  <c r="D12" i="42" s="1"/>
  <c r="D11" i="27"/>
  <c r="D12" i="27" s="1"/>
  <c r="D109" i="36"/>
  <c r="C109" i="36" s="1"/>
  <c r="D22" i="36"/>
  <c r="C22" i="36" s="1"/>
  <c r="D12" i="26"/>
  <c r="D13" i="26" s="1"/>
  <c r="D85" i="36"/>
  <c r="C85" i="36" s="1"/>
  <c r="E21" i="36"/>
  <c r="E22" i="36" s="1"/>
  <c r="F22" i="36" s="1"/>
  <c r="C108" i="36"/>
  <c r="C84" i="36"/>
  <c r="D63" i="36"/>
  <c r="C63" i="36" s="1"/>
  <c r="D11" i="16"/>
  <c r="D12" i="16" s="1"/>
  <c r="C192" i="36"/>
  <c r="E62" i="36"/>
  <c r="E63" i="36" s="1"/>
  <c r="F63" i="36" s="1"/>
  <c r="E84" i="36"/>
  <c r="F84" i="36" s="1"/>
  <c r="C62" i="36"/>
  <c r="C21" i="36"/>
  <c r="D13" i="37"/>
  <c r="D14" i="37" s="1"/>
  <c r="B7" i="9"/>
  <c r="B78" i="9"/>
  <c r="E108" i="36"/>
  <c r="E109" i="36" s="1"/>
  <c r="F109" i="36" s="1"/>
  <c r="D14" i="1"/>
  <c r="C7" i="9"/>
  <c r="B54" i="9"/>
  <c r="E65" i="9" s="1"/>
  <c r="C5" i="39"/>
  <c r="B121" i="9"/>
  <c r="E132" i="9" s="1"/>
  <c r="C5" i="34"/>
  <c r="D96" i="36"/>
  <c r="C96" i="36" s="1"/>
  <c r="AB27" i="39"/>
  <c r="AB28" i="39" s="1"/>
  <c r="AB29" i="39" s="1"/>
  <c r="AB30" i="39" s="1"/>
  <c r="AB31" i="39" s="1"/>
  <c r="AB32" i="39" s="1"/>
  <c r="AB33" i="39" s="1"/>
  <c r="AB34" i="39" s="1"/>
  <c r="AB35" i="39" s="1"/>
  <c r="AB36" i="39" s="1"/>
  <c r="AB37" i="39" s="1"/>
  <c r="AB38" i="39" s="1"/>
  <c r="AB39" i="39" s="1"/>
  <c r="AB40" i="39" s="1"/>
  <c r="AB41" i="39" s="1"/>
  <c r="AB42" i="39" s="1"/>
  <c r="AB43" i="39" s="1"/>
  <c r="AB44" i="39" s="1"/>
  <c r="AB45" i="39" s="1"/>
  <c r="AB46" i="39" s="1"/>
  <c r="AB47" i="39" s="1"/>
  <c r="AB48" i="39" s="1"/>
  <c r="AB49" i="39" s="1"/>
  <c r="AB50" i="39" s="1"/>
  <c r="AB51" i="39" s="1"/>
  <c r="AB52" i="39" s="1"/>
  <c r="AB53" i="39" s="1"/>
  <c r="AB54" i="39" s="1"/>
  <c r="AB55" i="39" s="1"/>
  <c r="AB56" i="39" s="1"/>
  <c r="AB57" i="39" s="1"/>
  <c r="AB58" i="39" s="1"/>
  <c r="AB59" i="39" s="1"/>
  <c r="AB60" i="39" s="1"/>
  <c r="AB61" i="39" s="1"/>
  <c r="AB62" i="39" s="1"/>
  <c r="AB63" i="39" s="1"/>
  <c r="AB64" i="39" s="1"/>
  <c r="AB65" i="39" s="1"/>
  <c r="AB66" i="39" s="1"/>
  <c r="AB67" i="39" s="1"/>
  <c r="AB68" i="39" s="1"/>
  <c r="AB69" i="39" s="1"/>
  <c r="AB70" i="39" s="1"/>
  <c r="AB71" i="39" s="1"/>
  <c r="AB72" i="39" s="1"/>
  <c r="C13" i="19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17" i="26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AJ27" i="21"/>
  <c r="AJ28" i="21" s="1"/>
  <c r="AJ29" i="21" s="1"/>
  <c r="AJ30" i="21" s="1"/>
  <c r="AJ31" i="21" s="1"/>
  <c r="AJ32" i="21" s="1"/>
  <c r="AJ33" i="21" s="1"/>
  <c r="AJ34" i="21" s="1"/>
  <c r="AJ35" i="21" s="1"/>
  <c r="AJ36" i="21" s="1"/>
  <c r="AJ37" i="21" s="1"/>
  <c r="AJ38" i="21" s="1"/>
  <c r="AJ39" i="21" s="1"/>
  <c r="AJ40" i="21" s="1"/>
  <c r="AJ41" i="21" s="1"/>
  <c r="AJ42" i="21" s="1"/>
  <c r="AJ43" i="21" s="1"/>
  <c r="AJ44" i="21" s="1"/>
  <c r="AJ45" i="21" s="1"/>
  <c r="AJ46" i="21" s="1"/>
  <c r="AJ47" i="21" s="1"/>
  <c r="AJ48" i="21" s="1"/>
  <c r="AJ49" i="21" s="1"/>
  <c r="AJ50" i="21" s="1"/>
  <c r="AJ51" i="21" s="1"/>
  <c r="AJ52" i="21" s="1"/>
  <c r="AJ53" i="21" s="1"/>
  <c r="AJ54" i="21" s="1"/>
  <c r="AJ55" i="21" s="1"/>
  <c r="AJ56" i="21" s="1"/>
  <c r="AJ57" i="21" s="1"/>
  <c r="AJ58" i="21" s="1"/>
  <c r="AJ59" i="21" s="1"/>
  <c r="AJ60" i="21" s="1"/>
  <c r="AJ61" i="21" s="1"/>
  <c r="AJ62" i="21" s="1"/>
  <c r="AJ63" i="21" s="1"/>
  <c r="AJ64" i="21" s="1"/>
  <c r="AJ71" i="21" s="1"/>
  <c r="AJ72" i="21" s="1"/>
  <c r="C15" i="42"/>
  <c r="L27" i="21"/>
  <c r="L28" i="21" s="1"/>
  <c r="L29" i="21" s="1"/>
  <c r="L30" i="21" s="1"/>
  <c r="L31" i="21" s="1"/>
  <c r="L32" i="21" s="1"/>
  <c r="L33" i="21" s="1"/>
  <c r="L34" i="21" s="1"/>
  <c r="L35" i="21" s="1"/>
  <c r="L36" i="21" s="1"/>
  <c r="L37" i="21" s="1"/>
  <c r="L38" i="21" s="1"/>
  <c r="L39" i="21" s="1"/>
  <c r="L40" i="21" s="1"/>
  <c r="L41" i="21" s="1"/>
  <c r="L42" i="21" s="1"/>
  <c r="L43" i="21" s="1"/>
  <c r="L44" i="21" s="1"/>
  <c r="L45" i="21" s="1"/>
  <c r="L46" i="21" s="1"/>
  <c r="L47" i="21" s="1"/>
  <c r="L48" i="21" s="1"/>
  <c r="L49" i="21" s="1"/>
  <c r="L50" i="21" s="1"/>
  <c r="L51" i="21" s="1"/>
  <c r="L52" i="21" s="1"/>
  <c r="L53" i="21" s="1"/>
  <c r="L54" i="21" s="1"/>
  <c r="L55" i="21" s="1"/>
  <c r="L56" i="21" s="1"/>
  <c r="L57" i="21" s="1"/>
  <c r="L58" i="21" s="1"/>
  <c r="L59" i="21" s="1"/>
  <c r="L60" i="21" s="1"/>
  <c r="L61" i="21" s="1"/>
  <c r="L62" i="21" s="1"/>
  <c r="L63" i="21" s="1"/>
  <c r="L64" i="21" s="1"/>
  <c r="L71" i="21" s="1"/>
  <c r="L72" i="21" s="1"/>
  <c r="L65" i="39"/>
  <c r="L66" i="39" s="1"/>
  <c r="L67" i="39" s="1"/>
  <c r="L68" i="39" s="1"/>
  <c r="L69" i="39" s="1"/>
  <c r="L70" i="39" s="1"/>
  <c r="L71" i="39"/>
  <c r="L72" i="39" s="1"/>
  <c r="C28" i="34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L27" i="34"/>
  <c r="L28" i="34" s="1"/>
  <c r="L29" i="34" s="1"/>
  <c r="L30" i="34" s="1"/>
  <c r="L31" i="34" s="1"/>
  <c r="L32" i="34" s="1"/>
  <c r="L33" i="34" s="1"/>
  <c r="L34" i="34" s="1"/>
  <c r="L35" i="34" s="1"/>
  <c r="L36" i="34" s="1"/>
  <c r="L37" i="34" s="1"/>
  <c r="L38" i="34" s="1"/>
  <c r="L39" i="34" s="1"/>
  <c r="L40" i="34" s="1"/>
  <c r="L41" i="34" s="1"/>
  <c r="L42" i="34" s="1"/>
  <c r="L43" i="34" s="1"/>
  <c r="L44" i="34" s="1"/>
  <c r="L45" i="34" s="1"/>
  <c r="L46" i="34" s="1"/>
  <c r="L47" i="34" s="1"/>
  <c r="L48" i="34" s="1"/>
  <c r="L49" i="34" s="1"/>
  <c r="L50" i="34" s="1"/>
  <c r="L51" i="34" s="1"/>
  <c r="L52" i="34" s="1"/>
  <c r="L53" i="34" s="1"/>
  <c r="L54" i="34" s="1"/>
  <c r="L55" i="34" s="1"/>
  <c r="L56" i="34" s="1"/>
  <c r="L57" i="34" s="1"/>
  <c r="L58" i="34" s="1"/>
  <c r="L59" i="34" s="1"/>
  <c r="L60" i="34" s="1"/>
  <c r="L61" i="34" s="1"/>
  <c r="L62" i="34" s="1"/>
  <c r="L63" i="34" s="1"/>
  <c r="L64" i="34" s="1"/>
  <c r="T27" i="34"/>
  <c r="T28" i="34" s="1"/>
  <c r="T29" i="34" s="1"/>
  <c r="T30" i="34" s="1"/>
  <c r="T31" i="34" s="1"/>
  <c r="T32" i="34" s="1"/>
  <c r="T33" i="34" s="1"/>
  <c r="T34" i="34" s="1"/>
  <c r="T35" i="34" s="1"/>
  <c r="T36" i="34" s="1"/>
  <c r="T37" i="34" s="1"/>
  <c r="T38" i="34" s="1"/>
  <c r="T39" i="34" s="1"/>
  <c r="T40" i="34" s="1"/>
  <c r="T41" i="34" s="1"/>
  <c r="T42" i="34" s="1"/>
  <c r="T43" i="34" s="1"/>
  <c r="T44" i="34" s="1"/>
  <c r="T45" i="34" s="1"/>
  <c r="T46" i="34" s="1"/>
  <c r="T47" i="34" s="1"/>
  <c r="T48" i="34" s="1"/>
  <c r="T49" i="34" s="1"/>
  <c r="T50" i="34" s="1"/>
  <c r="T51" i="34" s="1"/>
  <c r="T52" i="34" s="1"/>
  <c r="T53" i="34" s="1"/>
  <c r="T54" i="34" s="1"/>
  <c r="T55" i="34" s="1"/>
  <c r="T56" i="34" s="1"/>
  <c r="T57" i="34" s="1"/>
  <c r="T58" i="34" s="1"/>
  <c r="T59" i="34" s="1"/>
  <c r="T60" i="34" s="1"/>
  <c r="T61" i="34" s="1"/>
  <c r="T62" i="34" s="1"/>
  <c r="T63" i="34" s="1"/>
  <c r="T64" i="34" s="1"/>
  <c r="T71" i="34" s="1"/>
  <c r="T72" i="34" s="1"/>
  <c r="T27" i="39"/>
  <c r="T28" i="39" s="1"/>
  <c r="T29" i="39" s="1"/>
  <c r="T30" i="39" s="1"/>
  <c r="T31" i="39" s="1"/>
  <c r="T32" i="39" s="1"/>
  <c r="T33" i="39" s="1"/>
  <c r="T34" i="39" s="1"/>
  <c r="T35" i="39" s="1"/>
  <c r="T36" i="39" s="1"/>
  <c r="T37" i="39" s="1"/>
  <c r="T38" i="39" s="1"/>
  <c r="T39" i="39" s="1"/>
  <c r="T40" i="39" s="1"/>
  <c r="T41" i="39" s="1"/>
  <c r="T42" i="39" s="1"/>
  <c r="T43" i="39" s="1"/>
  <c r="T44" i="39" s="1"/>
  <c r="T45" i="39" s="1"/>
  <c r="T46" i="39" s="1"/>
  <c r="T47" i="39" s="1"/>
  <c r="T48" i="39" s="1"/>
  <c r="T49" i="39" s="1"/>
  <c r="T50" i="39" s="1"/>
  <c r="T51" i="39" s="1"/>
  <c r="T52" i="39" s="1"/>
  <c r="T53" i="39" s="1"/>
  <c r="T54" i="39" s="1"/>
  <c r="T55" i="39" s="1"/>
  <c r="T56" i="39" s="1"/>
  <c r="T57" i="39" s="1"/>
  <c r="T58" i="39" s="1"/>
  <c r="T59" i="39" s="1"/>
  <c r="T60" i="39" s="1"/>
  <c r="T61" i="39" s="1"/>
  <c r="T62" i="39" s="1"/>
  <c r="T63" i="39" s="1"/>
  <c r="T64" i="39" s="1"/>
  <c r="T71" i="39" s="1"/>
  <c r="T72" i="39" s="1"/>
  <c r="C28" i="39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C15" i="16"/>
  <c r="C28" i="2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C16" i="27"/>
  <c r="C13" i="40"/>
  <c r="C18" i="40" s="1"/>
  <c r="C14" i="17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15" i="38"/>
  <c r="C20" i="38" s="1"/>
  <c r="C21" i="38" s="1"/>
  <c r="C22" i="38" s="1"/>
  <c r="C23" i="38" s="1"/>
  <c r="C24" i="38" s="1"/>
  <c r="C25" i="38" s="1"/>
  <c r="C26" i="38" s="1"/>
  <c r="C27" i="38" s="1"/>
  <c r="C28" i="38" s="1"/>
  <c r="C29" i="38" s="1"/>
  <c r="C30" i="38" s="1"/>
  <c r="C31" i="38" s="1"/>
  <c r="C32" i="38" s="1"/>
  <c r="C33" i="38" s="1"/>
  <c r="C34" i="38" s="1"/>
  <c r="C35" i="38" s="1"/>
  <c r="C36" i="38" s="1"/>
  <c r="C37" i="38" s="1"/>
  <c r="C38" i="38" s="1"/>
  <c r="C39" i="38" s="1"/>
  <c r="C40" i="38" s="1"/>
  <c r="C41" i="38" s="1"/>
  <c r="C42" i="38" s="1"/>
  <c r="C43" i="38" s="1"/>
  <c r="C44" i="38" s="1"/>
  <c r="C45" i="38" s="1"/>
  <c r="C46" i="38" s="1"/>
  <c r="C18" i="18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17" i="8"/>
  <c r="C22" i="8" s="1"/>
  <c r="C23" i="8" s="1"/>
  <c r="C15" i="32"/>
  <c r="C20" i="32" s="1"/>
  <c r="C21" i="32" s="1"/>
  <c r="C13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D6" i="38" l="1"/>
  <c r="D10" i="38" s="1"/>
  <c r="D11" i="18"/>
  <c r="D12" i="18" s="1"/>
  <c r="D7" i="17"/>
  <c r="D9" i="17" s="1"/>
  <c r="D8" i="39"/>
  <c r="C6" i="39" s="1"/>
  <c r="G75" i="39" s="1"/>
  <c r="D6" i="37"/>
  <c r="D8" i="34"/>
  <c r="M8" i="34" s="1"/>
  <c r="D8" i="21"/>
  <c r="D6" i="16"/>
  <c r="D7" i="16" s="1"/>
  <c r="D8" i="16" s="1"/>
  <c r="D6" i="27"/>
  <c r="D10" i="27" s="1"/>
  <c r="DE8" i="5"/>
  <c r="DD8" i="5"/>
  <c r="C19" i="40"/>
  <c r="K221" i="30"/>
  <c r="L221" i="30" s="1"/>
  <c r="H211" i="30"/>
  <c r="K217" i="30"/>
  <c r="H207" i="30"/>
  <c r="K218" i="30"/>
  <c r="L218" i="30" s="1"/>
  <c r="H208" i="30"/>
  <c r="L224" i="30"/>
  <c r="H215" i="30"/>
  <c r="K225" i="30"/>
  <c r="K215" i="30"/>
  <c r="L215" i="30" s="1"/>
  <c r="K219" i="30"/>
  <c r="K216" i="30"/>
  <c r="L216" i="30" s="1"/>
  <c r="H206" i="30"/>
  <c r="K222" i="30"/>
  <c r="E180" i="36"/>
  <c r="F180" i="36" s="1"/>
  <c r="E172" i="36"/>
  <c r="E132" i="36"/>
  <c r="F132" i="36" s="1"/>
  <c r="E128" i="36"/>
  <c r="F128" i="36" s="1"/>
  <c r="E131" i="9"/>
  <c r="D12" i="38" s="1"/>
  <c r="F42" i="36"/>
  <c r="E202" i="36"/>
  <c r="F202" i="36" s="1"/>
  <c r="E194" i="36"/>
  <c r="C18" i="42"/>
  <c r="D13" i="42" s="1"/>
  <c r="E89" i="9"/>
  <c r="E142" i="36"/>
  <c r="D6" i="41" s="1"/>
  <c r="D9" i="41" s="1"/>
  <c r="E148" i="36"/>
  <c r="C22" i="32"/>
  <c r="E20" i="38"/>
  <c r="D13" i="38"/>
  <c r="E88" i="9"/>
  <c r="E64" i="9"/>
  <c r="E164" i="9"/>
  <c r="F164" i="9" s="1"/>
  <c r="C20" i="26"/>
  <c r="E42" i="9"/>
  <c r="F42" i="9" s="1"/>
  <c r="E22" i="9"/>
  <c r="F22" i="9" s="1"/>
  <c r="D11" i="38"/>
  <c r="E109" i="9"/>
  <c r="F109" i="9" s="1"/>
  <c r="E155" i="9"/>
  <c r="F155" i="9" s="1"/>
  <c r="F110" i="9"/>
  <c r="F89" i="9"/>
  <c r="E23" i="9"/>
  <c r="F23" i="9" s="1"/>
  <c r="F156" i="9"/>
  <c r="F65" i="9"/>
  <c r="F108" i="9"/>
  <c r="F87" i="9"/>
  <c r="F88" i="9"/>
  <c r="F154" i="9"/>
  <c r="F130" i="9"/>
  <c r="C17" i="17"/>
  <c r="D19" i="17" s="1"/>
  <c r="F19" i="17" s="1"/>
  <c r="C16" i="19"/>
  <c r="E43" i="9"/>
  <c r="F43" i="9" s="1"/>
  <c r="E152" i="36"/>
  <c r="F152" i="36" s="1"/>
  <c r="E33" i="36"/>
  <c r="D6" i="32" s="1"/>
  <c r="E46" i="36"/>
  <c r="F46" i="36" s="1"/>
  <c r="E198" i="36"/>
  <c r="F198" i="36" s="1"/>
  <c r="E176" i="36"/>
  <c r="F176" i="36" s="1"/>
  <c r="F108" i="36"/>
  <c r="E14" i="36"/>
  <c r="F14" i="36" s="1"/>
  <c r="E67" i="36"/>
  <c r="F67" i="36" s="1"/>
  <c r="F21" i="36"/>
  <c r="D9" i="21"/>
  <c r="D11" i="21" s="1"/>
  <c r="E85" i="36"/>
  <c r="F85" i="36" s="1"/>
  <c r="B9" i="19"/>
  <c r="B14" i="18"/>
  <c r="B14" i="21"/>
  <c r="K14" i="21" s="1"/>
  <c r="S14" i="21" s="1"/>
  <c r="B14" i="39"/>
  <c r="K14" i="39" s="1"/>
  <c r="S14" i="39" s="1"/>
  <c r="B14" i="34"/>
  <c r="K14" i="34" s="1"/>
  <c r="S14" i="34" s="1"/>
  <c r="E89" i="36"/>
  <c r="E113" i="36" s="1"/>
  <c r="E122" i="36"/>
  <c r="E27" i="9"/>
  <c r="E14" i="9"/>
  <c r="D8" i="19"/>
  <c r="D7" i="19"/>
  <c r="E186" i="36"/>
  <c r="F186" i="36" s="1"/>
  <c r="C5" i="26"/>
  <c r="D5" i="26" s="1"/>
  <c r="C5" i="19"/>
  <c r="D5" i="19" s="1"/>
  <c r="C5" i="18"/>
  <c r="D5" i="18" s="1"/>
  <c r="C5" i="38"/>
  <c r="D5" i="38" s="1"/>
  <c r="C5" i="41"/>
  <c r="D5" i="41" s="1"/>
  <c r="C5" i="42"/>
  <c r="D5" i="42" s="1"/>
  <c r="C5" i="16"/>
  <c r="D5" i="16" s="1"/>
  <c r="C5" i="8"/>
  <c r="D5" i="8" s="1"/>
  <c r="C5" i="17"/>
  <c r="D5" i="17" s="1"/>
  <c r="C5" i="37"/>
  <c r="D5" i="37" s="1"/>
  <c r="C5" i="40"/>
  <c r="D5" i="40" s="1"/>
  <c r="C5" i="27"/>
  <c r="D5" i="27" s="1"/>
  <c r="C5" i="32"/>
  <c r="D5" i="32" s="1"/>
  <c r="C20" i="8"/>
  <c r="D15" i="8" s="1"/>
  <c r="C18" i="16"/>
  <c r="E20" i="32"/>
  <c r="C6" i="17"/>
  <c r="C6" i="26"/>
  <c r="C6" i="18"/>
  <c r="D23" i="18"/>
  <c r="F23" i="18" s="1"/>
  <c r="F41" i="9"/>
  <c r="F62" i="36"/>
  <c r="D7" i="37"/>
  <c r="D8" i="37" s="1"/>
  <c r="B15" i="18"/>
  <c r="B15" i="21"/>
  <c r="K15" i="21" s="1"/>
  <c r="S15" i="21" s="1"/>
  <c r="B10" i="19"/>
  <c r="B15" i="34"/>
  <c r="K15" i="34" s="1"/>
  <c r="S15" i="34" s="1"/>
  <c r="B15" i="39"/>
  <c r="K15" i="39" s="1"/>
  <c r="S15" i="39" s="1"/>
  <c r="D9" i="19"/>
  <c r="D14" i="18"/>
  <c r="D14" i="21"/>
  <c r="M14" i="21" s="1"/>
  <c r="U14" i="21" s="1"/>
  <c r="D14" i="39"/>
  <c r="M14" i="39" s="1"/>
  <c r="U14" i="39" s="1"/>
  <c r="AC14" i="39" s="1"/>
  <c r="AK14" i="39" s="1"/>
  <c r="AS14" i="39" s="1"/>
  <c r="D14" i="34"/>
  <c r="M14" i="34" s="1"/>
  <c r="U14" i="34" s="1"/>
  <c r="AC14" i="34" s="1"/>
  <c r="F63" i="9"/>
  <c r="E19" i="41"/>
  <c r="E20" i="41"/>
  <c r="E21" i="41" s="1"/>
  <c r="E22" i="41" s="1"/>
  <c r="E23" i="41" s="1"/>
  <c r="E25" i="41" s="1"/>
  <c r="E26" i="41" s="1"/>
  <c r="E27" i="41" s="1"/>
  <c r="E28" i="41" s="1"/>
  <c r="E29" i="41" s="1"/>
  <c r="E31" i="41" s="1"/>
  <c r="E32" i="41" s="1"/>
  <c r="E33" i="41" s="1"/>
  <c r="E34" i="41" s="1"/>
  <c r="E35" i="41" s="1"/>
  <c r="E37" i="41" s="1"/>
  <c r="E38" i="41" s="1"/>
  <c r="E39" i="41" s="1"/>
  <c r="E40" i="41" s="1"/>
  <c r="E41" i="41" s="1"/>
  <c r="E18" i="41"/>
  <c r="E20" i="40"/>
  <c r="E21" i="40" s="1"/>
  <c r="E22" i="40" s="1"/>
  <c r="E23" i="40" s="1"/>
  <c r="E24" i="40" s="1"/>
  <c r="E25" i="40" s="1"/>
  <c r="E26" i="40" s="1"/>
  <c r="E27" i="40" s="1"/>
  <c r="E28" i="40" s="1"/>
  <c r="E29" i="40" s="1"/>
  <c r="E31" i="40" s="1"/>
  <c r="E32" i="40" s="1"/>
  <c r="E33" i="40" s="1"/>
  <c r="E34" i="40" s="1"/>
  <c r="E35" i="40" s="1"/>
  <c r="E36" i="40" s="1"/>
  <c r="E37" i="40" s="1"/>
  <c r="E38" i="40" s="1"/>
  <c r="E39" i="40" s="1"/>
  <c r="E40" i="40" s="1"/>
  <c r="E41" i="40" s="1"/>
  <c r="E19" i="40"/>
  <c r="E18" i="40"/>
  <c r="M8" i="39"/>
  <c r="D9" i="39"/>
  <c r="D11" i="39" s="1"/>
  <c r="E164" i="36"/>
  <c r="F164" i="36" s="1"/>
  <c r="L65" i="21"/>
  <c r="L66" i="21" s="1"/>
  <c r="L67" i="21" s="1"/>
  <c r="L68" i="21" s="1"/>
  <c r="L69" i="21" s="1"/>
  <c r="L70" i="21" s="1"/>
  <c r="L65" i="34"/>
  <c r="L66" i="34" s="1"/>
  <c r="L67" i="34" s="1"/>
  <c r="L68" i="34" s="1"/>
  <c r="L69" i="34" s="1"/>
  <c r="L70" i="34" s="1"/>
  <c r="L71" i="34"/>
  <c r="L72" i="34" s="1"/>
  <c r="C6" i="34" l="1"/>
  <c r="G75" i="34" s="1"/>
  <c r="D9" i="38"/>
  <c r="D14" i="38" s="1"/>
  <c r="E21" i="38" s="1"/>
  <c r="D9" i="34"/>
  <c r="D11" i="34" s="1"/>
  <c r="D8" i="17"/>
  <c r="D12" i="17" s="1"/>
  <c r="D13" i="18"/>
  <c r="D16" i="18" s="1"/>
  <c r="U8" i="39"/>
  <c r="U11" i="39" s="1"/>
  <c r="D9" i="27"/>
  <c r="D14" i="27" s="1"/>
  <c r="U8" i="34"/>
  <c r="U11" i="34" s="1"/>
  <c r="U8" i="21"/>
  <c r="AK8" i="21" s="1"/>
  <c r="L219" i="30"/>
  <c r="C20" i="40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C40" i="40" s="1"/>
  <c r="C41" i="40" s="1"/>
  <c r="C42" i="40" s="1"/>
  <c r="L222" i="30"/>
  <c r="L223" i="30"/>
  <c r="L220" i="30"/>
  <c r="L225" i="30"/>
  <c r="L226" i="30"/>
  <c r="L217" i="30"/>
  <c r="D10" i="41"/>
  <c r="D12" i="41" s="1"/>
  <c r="F142" i="36"/>
  <c r="D6" i="40"/>
  <c r="D9" i="40" s="1"/>
  <c r="E145" i="36"/>
  <c r="E147" i="36" s="1"/>
  <c r="F147" i="36" s="1"/>
  <c r="F131" i="9"/>
  <c r="D14" i="26"/>
  <c r="D22" i="26"/>
  <c r="E22" i="8"/>
  <c r="D18" i="19"/>
  <c r="F18" i="19" s="1"/>
  <c r="E34" i="36"/>
  <c r="F34" i="36" s="1"/>
  <c r="F33" i="36"/>
  <c r="E101" i="36"/>
  <c r="E103" i="36" s="1"/>
  <c r="F103" i="36" s="1"/>
  <c r="E55" i="36"/>
  <c r="F89" i="36"/>
  <c r="E77" i="36"/>
  <c r="E15" i="36"/>
  <c r="E16" i="36" s="1"/>
  <c r="F16" i="36" s="1"/>
  <c r="D11" i="19"/>
  <c r="D19" i="19" s="1"/>
  <c r="F19" i="19" s="1"/>
  <c r="E189" i="36"/>
  <c r="D12" i="34"/>
  <c r="D9" i="16"/>
  <c r="U12" i="21" s="1"/>
  <c r="D10" i="16"/>
  <c r="U13" i="21" s="1"/>
  <c r="U11" i="21"/>
  <c r="D6" i="17"/>
  <c r="B6" i="17"/>
  <c r="F132" i="9"/>
  <c r="D6" i="8"/>
  <c r="E56" i="9"/>
  <c r="E81" i="9"/>
  <c r="E34" i="9"/>
  <c r="E15" i="9"/>
  <c r="F15" i="9" s="1"/>
  <c r="F14" i="9"/>
  <c r="E148" i="9"/>
  <c r="E124" i="9"/>
  <c r="D6" i="18"/>
  <c r="B6" i="18"/>
  <c r="D9" i="37"/>
  <c r="D10" i="37" s="1"/>
  <c r="D20" i="42"/>
  <c r="F27" i="9"/>
  <c r="E69" i="9"/>
  <c r="E47" i="9"/>
  <c r="F47" i="9" s="1"/>
  <c r="AA14" i="34"/>
  <c r="AI14" i="21"/>
  <c r="AA14" i="39"/>
  <c r="D15" i="18"/>
  <c r="D10" i="19"/>
  <c r="D15" i="21"/>
  <c r="M15" i="21" s="1"/>
  <c r="U15" i="21" s="1"/>
  <c r="D15" i="34"/>
  <c r="M15" i="34" s="1"/>
  <c r="U15" i="34" s="1"/>
  <c r="AC15" i="34" s="1"/>
  <c r="D15" i="39"/>
  <c r="M15" i="39" s="1"/>
  <c r="U15" i="39" s="1"/>
  <c r="AC15" i="39" s="1"/>
  <c r="AK15" i="39" s="1"/>
  <c r="AS15" i="39" s="1"/>
  <c r="F64" i="9"/>
  <c r="D12" i="39"/>
  <c r="D20" i="16"/>
  <c r="AK14" i="21"/>
  <c r="BA14" i="21" s="1"/>
  <c r="AC14" i="21"/>
  <c r="AS14" i="21" s="1"/>
  <c r="D6" i="26"/>
  <c r="B6" i="26"/>
  <c r="E167" i="36"/>
  <c r="AA15" i="34"/>
  <c r="AI15" i="21"/>
  <c r="AA15" i="39"/>
  <c r="E125" i="36"/>
  <c r="F122" i="36"/>
  <c r="M9" i="34"/>
  <c r="M11" i="34" s="1"/>
  <c r="M9" i="39"/>
  <c r="M11" i="39" s="1"/>
  <c r="D12" i="21"/>
  <c r="D7" i="32"/>
  <c r="D10" i="32" s="1"/>
  <c r="AC8" i="39" l="1"/>
  <c r="AK8" i="39" s="1"/>
  <c r="AC8" i="21"/>
  <c r="AS8" i="21" s="1"/>
  <c r="AS11" i="21" s="1"/>
  <c r="U9" i="21"/>
  <c r="AC8" i="34"/>
  <c r="AC11" i="34" s="1"/>
  <c r="AC12" i="34" s="1"/>
  <c r="D10" i="40"/>
  <c r="D12" i="40" s="1"/>
  <c r="F145" i="36"/>
  <c r="E146" i="36"/>
  <c r="F146" i="36" s="1"/>
  <c r="E35" i="36"/>
  <c r="E37" i="36" s="1"/>
  <c r="D23" i="27"/>
  <c r="D24" i="27" s="1"/>
  <c r="D25" i="27" s="1"/>
  <c r="D26" i="27" s="1"/>
  <c r="D27" i="27" s="1"/>
  <c r="D28" i="27" s="1"/>
  <c r="D29" i="27" s="1"/>
  <c r="D30" i="27" s="1"/>
  <c r="D31" i="27" s="1"/>
  <c r="D32" i="27" s="1"/>
  <c r="D33" i="27" s="1"/>
  <c r="D34" i="27" s="1"/>
  <c r="D35" i="27" s="1"/>
  <c r="D36" i="27" s="1"/>
  <c r="D37" i="27" s="1"/>
  <c r="D38" i="27" s="1"/>
  <c r="D39" i="27" s="1"/>
  <c r="D40" i="27" s="1"/>
  <c r="D41" i="27" s="1"/>
  <c r="D42" i="27" s="1"/>
  <c r="D43" i="27" s="1"/>
  <c r="D44" i="27" s="1"/>
  <c r="D45" i="27" s="1"/>
  <c r="D46" i="27" s="1"/>
  <c r="D47" i="27" s="1"/>
  <c r="D48" i="27" s="1"/>
  <c r="D49" i="27" s="1"/>
  <c r="D50" i="27" s="1"/>
  <c r="D51" i="27" s="1"/>
  <c r="D52" i="27" s="1"/>
  <c r="D53" i="27" s="1"/>
  <c r="D54" i="27" s="1"/>
  <c r="D55" i="27" s="1"/>
  <c r="D56" i="27" s="1"/>
  <c r="D57" i="27" s="1"/>
  <c r="D58" i="27" s="1"/>
  <c r="D22" i="27"/>
  <c r="D15" i="27" s="1"/>
  <c r="F101" i="36"/>
  <c r="D12" i="19"/>
  <c r="D38" i="19"/>
  <c r="D20" i="19"/>
  <c r="D21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D21" i="17"/>
  <c r="D22" i="17" s="1"/>
  <c r="D23" i="17" s="1"/>
  <c r="D24" i="17" s="1"/>
  <c r="D25" i="17" s="1"/>
  <c r="D26" i="17" s="1"/>
  <c r="D27" i="17" s="1"/>
  <c r="D28" i="17" s="1"/>
  <c r="D29" i="17" s="1"/>
  <c r="D30" i="17" s="1"/>
  <c r="D33" i="17"/>
  <c r="D20" i="17"/>
  <c r="F20" i="17" s="1"/>
  <c r="F15" i="36"/>
  <c r="E190" i="36"/>
  <c r="F190" i="36" s="1"/>
  <c r="E17" i="36"/>
  <c r="F17" i="36" s="1"/>
  <c r="E191" i="36"/>
  <c r="F191" i="36" s="1"/>
  <c r="F189" i="36"/>
  <c r="F167" i="36"/>
  <c r="E104" i="36"/>
  <c r="F104" i="36" s="1"/>
  <c r="E56" i="36"/>
  <c r="F55" i="36"/>
  <c r="E168" i="36"/>
  <c r="F168" i="36" s="1"/>
  <c r="E169" i="36"/>
  <c r="F169" i="36" s="1"/>
  <c r="D16" i="21"/>
  <c r="I71" i="21" s="1"/>
  <c r="D25" i="18"/>
  <c r="D26" i="18" s="1"/>
  <c r="D27" i="18" s="1"/>
  <c r="D28" i="18" s="1"/>
  <c r="D29" i="18" s="1"/>
  <c r="D30" i="18" s="1"/>
  <c r="D31" i="18" s="1"/>
  <c r="D32" i="18" s="1"/>
  <c r="D33" i="18" s="1"/>
  <c r="D34" i="18" s="1"/>
  <c r="D35" i="18" s="1"/>
  <c r="D36" i="18" s="1"/>
  <c r="D37" i="18" s="1"/>
  <c r="D38" i="18" s="1"/>
  <c r="D39" i="18" s="1"/>
  <c r="D40" i="18" s="1"/>
  <c r="D41" i="18" s="1"/>
  <c r="D42" i="18" s="1"/>
  <c r="D24" i="18"/>
  <c r="F24" i="18" s="1"/>
  <c r="D43" i="18"/>
  <c r="U16" i="21"/>
  <c r="W34" i="21" s="1"/>
  <c r="Y34" i="21" s="1"/>
  <c r="E78" i="36"/>
  <c r="F77" i="36"/>
  <c r="E30" i="41"/>
  <c r="E24" i="41"/>
  <c r="E36" i="41"/>
  <c r="E22" i="38"/>
  <c r="E23" i="38" s="1"/>
  <c r="E24" i="38" s="1"/>
  <c r="E25" i="38" s="1"/>
  <c r="E26" i="38" s="1"/>
  <c r="E27" i="38" s="1"/>
  <c r="E28" i="38" s="1"/>
  <c r="E29" i="38" s="1"/>
  <c r="E30" i="38" s="1"/>
  <c r="E31" i="38" s="1"/>
  <c r="E32" i="38" s="1"/>
  <c r="E33" i="38" s="1"/>
  <c r="E34" i="38" s="1"/>
  <c r="E35" i="38" s="1"/>
  <c r="E36" i="38" s="1"/>
  <c r="E37" i="38" s="1"/>
  <c r="E38" i="38" s="1"/>
  <c r="E39" i="38" s="1"/>
  <c r="E40" i="38" s="1"/>
  <c r="E41" i="38" s="1"/>
  <c r="E42" i="38" s="1"/>
  <c r="E43" i="38" s="1"/>
  <c r="E44" i="38" s="1"/>
  <c r="E45" i="38" s="1"/>
  <c r="D13" i="16"/>
  <c r="E30" i="40"/>
  <c r="E42" i="40" s="1"/>
  <c r="D12" i="37"/>
  <c r="D11" i="37"/>
  <c r="U13" i="39"/>
  <c r="U12" i="39"/>
  <c r="E126" i="36"/>
  <c r="F125" i="36"/>
  <c r="E127" i="36"/>
  <c r="F127" i="36" s="1"/>
  <c r="AK15" i="21"/>
  <c r="BA15" i="21" s="1"/>
  <c r="AC15" i="21"/>
  <c r="AS15" i="21" s="1"/>
  <c r="U13" i="34"/>
  <c r="U12" i="34"/>
  <c r="E127" i="9"/>
  <c r="F124" i="9"/>
  <c r="M13" i="39"/>
  <c r="M12" i="39"/>
  <c r="E93" i="9"/>
  <c r="E114" i="9" s="1"/>
  <c r="F114" i="9" s="1"/>
  <c r="F69" i="9"/>
  <c r="E136" i="9"/>
  <c r="F136" i="9" s="1"/>
  <c r="BA8" i="21"/>
  <c r="BA11" i="21" s="1"/>
  <c r="AK11" i="21"/>
  <c r="E16" i="9"/>
  <c r="M12" i="34"/>
  <c r="M13" i="34"/>
  <c r="D16" i="39"/>
  <c r="D7" i="26"/>
  <c r="F81" i="9"/>
  <c r="E102" i="9"/>
  <c r="E84" i="9"/>
  <c r="D7" i="8"/>
  <c r="D8" i="8" s="1"/>
  <c r="M8" i="21"/>
  <c r="M9" i="21" s="1"/>
  <c r="D6" i="42"/>
  <c r="F148" i="9"/>
  <c r="E151" i="9"/>
  <c r="F34" i="9"/>
  <c r="E35" i="9"/>
  <c r="F35" i="9" s="1"/>
  <c r="D7" i="18"/>
  <c r="E57" i="9"/>
  <c r="F56" i="9"/>
  <c r="D16" i="34"/>
  <c r="D12" i="32"/>
  <c r="D11" i="32"/>
  <c r="AC11" i="39" l="1"/>
  <c r="AC13" i="34"/>
  <c r="AC11" i="21"/>
  <c r="AC13" i="21" s="1"/>
  <c r="E149" i="36"/>
  <c r="E151" i="36" s="1"/>
  <c r="F151" i="36" s="1"/>
  <c r="E38" i="36"/>
  <c r="F38" i="36" s="1"/>
  <c r="E39" i="36"/>
  <c r="F39" i="36" s="1"/>
  <c r="F35" i="36"/>
  <c r="F37" i="36"/>
  <c r="E153" i="9"/>
  <c r="F153" i="9" s="1"/>
  <c r="E152" i="9"/>
  <c r="F152" i="9" s="1"/>
  <c r="E128" i="9"/>
  <c r="F128" i="9" s="1"/>
  <c r="E129" i="9"/>
  <c r="F129" i="9" s="1"/>
  <c r="E86" i="9"/>
  <c r="F86" i="9" s="1"/>
  <c r="E85" i="9"/>
  <c r="F85" i="9" s="1"/>
  <c r="E46" i="38"/>
  <c r="E31" i="19"/>
  <c r="F31" i="19" s="1"/>
  <c r="E37" i="19"/>
  <c r="F37" i="19" s="1"/>
  <c r="E32" i="19"/>
  <c r="F32" i="19" s="1"/>
  <c r="E26" i="19"/>
  <c r="F26" i="19" s="1"/>
  <c r="E28" i="19"/>
  <c r="F28" i="19" s="1"/>
  <c r="E22" i="19"/>
  <c r="F22" i="19" s="1"/>
  <c r="E29" i="19"/>
  <c r="F29" i="19" s="1"/>
  <c r="E36" i="19"/>
  <c r="F36" i="19" s="1"/>
  <c r="E35" i="19"/>
  <c r="F35" i="19" s="1"/>
  <c r="E25" i="19"/>
  <c r="F25" i="19" s="1"/>
  <c r="E30" i="19"/>
  <c r="F30" i="19" s="1"/>
  <c r="E34" i="19"/>
  <c r="F34" i="19" s="1"/>
  <c r="E20" i="19"/>
  <c r="F20" i="19" s="1"/>
  <c r="E23" i="19"/>
  <c r="F23" i="19" s="1"/>
  <c r="E27" i="19"/>
  <c r="F27" i="19" s="1"/>
  <c r="E21" i="19"/>
  <c r="F21" i="19" s="1"/>
  <c r="E38" i="19"/>
  <c r="F38" i="19" s="1"/>
  <c r="E33" i="19"/>
  <c r="F33" i="19" s="1"/>
  <c r="E24" i="19"/>
  <c r="F24" i="19" s="1"/>
  <c r="E36" i="9"/>
  <c r="F36" i="9" s="1"/>
  <c r="I55" i="21"/>
  <c r="D13" i="17"/>
  <c r="E23" i="17" s="1"/>
  <c r="F23" i="17" s="1"/>
  <c r="D13" i="21"/>
  <c r="I34" i="21"/>
  <c r="I38" i="21"/>
  <c r="M16" i="39"/>
  <c r="N28" i="39" s="1"/>
  <c r="N29" i="39" s="1"/>
  <c r="Q29" i="39" s="1"/>
  <c r="I66" i="21"/>
  <c r="I61" i="21"/>
  <c r="E105" i="36"/>
  <c r="E106" i="36" s="1"/>
  <c r="F106" i="36" s="1"/>
  <c r="D15" i="37"/>
  <c r="E21" i="37" s="1"/>
  <c r="I68" i="21"/>
  <c r="E18" i="36"/>
  <c r="F18" i="36" s="1"/>
  <c r="I46" i="21"/>
  <c r="I52" i="21"/>
  <c r="I64" i="21"/>
  <c r="I49" i="21"/>
  <c r="I54" i="21"/>
  <c r="I30" i="21"/>
  <c r="I44" i="21"/>
  <c r="I36" i="21"/>
  <c r="I41" i="21"/>
  <c r="I28" i="21"/>
  <c r="I43" i="21"/>
  <c r="I57" i="21"/>
  <c r="I42" i="21"/>
  <c r="I63" i="21"/>
  <c r="I62" i="21"/>
  <c r="I56" i="21"/>
  <c r="I53" i="21"/>
  <c r="I58" i="21"/>
  <c r="I67" i="21"/>
  <c r="I50" i="21"/>
  <c r="I37" i="21"/>
  <c r="I72" i="21"/>
  <c r="E195" i="36"/>
  <c r="E173" i="36"/>
  <c r="E175" i="36" s="1"/>
  <c r="F175" i="36" s="1"/>
  <c r="W47" i="21"/>
  <c r="Y47" i="21" s="1"/>
  <c r="V28" i="21"/>
  <c r="V73" i="21" s="1"/>
  <c r="W46" i="21"/>
  <c r="Y46" i="21" s="1"/>
  <c r="W48" i="21"/>
  <c r="Y48" i="21" s="1"/>
  <c r="W40" i="21"/>
  <c r="Y40" i="21" s="1"/>
  <c r="W30" i="21"/>
  <c r="Y30" i="21" s="1"/>
  <c r="W29" i="21"/>
  <c r="Y29" i="21" s="1"/>
  <c r="W49" i="21"/>
  <c r="Y49" i="21" s="1"/>
  <c r="W54" i="21"/>
  <c r="Y54" i="21" s="1"/>
  <c r="I33" i="21"/>
  <c r="I31" i="21"/>
  <c r="I40" i="21"/>
  <c r="I59" i="21"/>
  <c r="I29" i="21"/>
  <c r="I65" i="21"/>
  <c r="W44" i="21"/>
  <c r="Y44" i="21" s="1"/>
  <c r="W36" i="21"/>
  <c r="Y36" i="21" s="1"/>
  <c r="W50" i="21"/>
  <c r="Y50" i="21" s="1"/>
  <c r="W57" i="21"/>
  <c r="Y57" i="21" s="1"/>
  <c r="W53" i="21"/>
  <c r="Y53" i="21" s="1"/>
  <c r="W38" i="21"/>
  <c r="Y38" i="21" s="1"/>
  <c r="W45" i="21"/>
  <c r="Y45" i="21" s="1"/>
  <c r="W51" i="21"/>
  <c r="Y51" i="21" s="1"/>
  <c r="W55" i="21"/>
  <c r="Y55" i="21" s="1"/>
  <c r="I27" i="21"/>
  <c r="J27" i="21" s="1"/>
  <c r="I32" i="21"/>
  <c r="I45" i="21"/>
  <c r="I47" i="21"/>
  <c r="I60" i="21"/>
  <c r="I35" i="21"/>
  <c r="W31" i="21"/>
  <c r="Y31" i="21" s="1"/>
  <c r="W43" i="21"/>
  <c r="Y43" i="21" s="1"/>
  <c r="W52" i="21"/>
  <c r="Y52" i="21" s="1"/>
  <c r="W37" i="21"/>
  <c r="Y37" i="21" s="1"/>
  <c r="W39" i="21"/>
  <c r="Y39" i="21" s="1"/>
  <c r="W56" i="21"/>
  <c r="Y56" i="21" s="1"/>
  <c r="W58" i="21"/>
  <c r="Y58" i="21" s="1"/>
  <c r="I70" i="21"/>
  <c r="I51" i="21"/>
  <c r="I48" i="21"/>
  <c r="I39" i="21"/>
  <c r="I69" i="21"/>
  <c r="W33" i="21"/>
  <c r="Y33" i="21" s="1"/>
  <c r="W41" i="21"/>
  <c r="Y41" i="21" s="1"/>
  <c r="W42" i="21"/>
  <c r="Y42" i="21" s="1"/>
  <c r="W35" i="21"/>
  <c r="Y35" i="21" s="1"/>
  <c r="W32" i="21"/>
  <c r="Y32" i="21" s="1"/>
  <c r="E42" i="41"/>
  <c r="U16" i="34"/>
  <c r="W51" i="34" s="1"/>
  <c r="Y51" i="34" s="1"/>
  <c r="F56" i="36"/>
  <c r="E57" i="36"/>
  <c r="E58" i="36" s="1"/>
  <c r="F58" i="36" s="1"/>
  <c r="F78" i="36"/>
  <c r="E79" i="36"/>
  <c r="D22" i="16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21" i="16"/>
  <c r="D14" i="16" s="1"/>
  <c r="D17" i="18"/>
  <c r="M16" i="34"/>
  <c r="D14" i="32"/>
  <c r="E21" i="32" s="1"/>
  <c r="AC16" i="34"/>
  <c r="AE29" i="34" s="1"/>
  <c r="U16" i="39"/>
  <c r="W63" i="39" s="1"/>
  <c r="Y63" i="39" s="1"/>
  <c r="D10" i="8"/>
  <c r="M11" i="21"/>
  <c r="AS8" i="39"/>
  <c r="AS11" i="39" s="1"/>
  <c r="AK11" i="39"/>
  <c r="AC12" i="39"/>
  <c r="AC13" i="39"/>
  <c r="F16" i="9"/>
  <c r="E18" i="9"/>
  <c r="D10" i="26"/>
  <c r="D11" i="26"/>
  <c r="AS12" i="21"/>
  <c r="AS13" i="21"/>
  <c r="D10" i="42"/>
  <c r="D9" i="42"/>
  <c r="I72" i="34"/>
  <c r="I58" i="34"/>
  <c r="I73" i="34"/>
  <c r="I63" i="34"/>
  <c r="I55" i="34"/>
  <c r="I70" i="34"/>
  <c r="I68" i="34"/>
  <c r="I64" i="34"/>
  <c r="I56" i="34"/>
  <c r="I60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69" i="34"/>
  <c r="I61" i="34"/>
  <c r="I33" i="34"/>
  <c r="I71" i="34"/>
  <c r="I66" i="34"/>
  <c r="I59" i="34"/>
  <c r="I62" i="34"/>
  <c r="I57" i="34"/>
  <c r="I28" i="34"/>
  <c r="I29" i="34"/>
  <c r="I67" i="34"/>
  <c r="I31" i="34"/>
  <c r="I54" i="34"/>
  <c r="D13" i="34"/>
  <c r="I34" i="34"/>
  <c r="I32" i="34"/>
  <c r="I30" i="34"/>
  <c r="I65" i="34"/>
  <c r="I27" i="34"/>
  <c r="J27" i="34" s="1"/>
  <c r="D8" i="18"/>
  <c r="F57" i="9"/>
  <c r="F84" i="9"/>
  <c r="AK13" i="21"/>
  <c r="AK12" i="21"/>
  <c r="F127" i="9"/>
  <c r="F102" i="9"/>
  <c r="E105" i="9"/>
  <c r="BA12" i="21"/>
  <c r="BA13" i="21"/>
  <c r="D31" i="17"/>
  <c r="I73" i="39"/>
  <c r="I62" i="39"/>
  <c r="I54" i="39"/>
  <c r="I52" i="39"/>
  <c r="I48" i="39"/>
  <c r="I44" i="39"/>
  <c r="I40" i="39"/>
  <c r="I36" i="39"/>
  <c r="I32" i="39"/>
  <c r="I28" i="39"/>
  <c r="I70" i="39"/>
  <c r="I64" i="39"/>
  <c r="I56" i="39"/>
  <c r="I49" i="39"/>
  <c r="I45" i="39"/>
  <c r="I41" i="39"/>
  <c r="I37" i="39"/>
  <c r="I33" i="39"/>
  <c r="I27" i="39"/>
  <c r="J27" i="39" s="1"/>
  <c r="I68" i="39"/>
  <c r="I72" i="39"/>
  <c r="I63" i="39"/>
  <c r="I55" i="39"/>
  <c r="I30" i="39"/>
  <c r="I58" i="39"/>
  <c r="I46" i="39"/>
  <c r="I35" i="39"/>
  <c r="D13" i="39"/>
  <c r="I71" i="39"/>
  <c r="I69" i="39"/>
  <c r="I67" i="39"/>
  <c r="I51" i="39"/>
  <c r="I66" i="39"/>
  <c r="I61" i="39"/>
  <c r="I42" i="39"/>
  <c r="I31" i="39"/>
  <c r="I65" i="39"/>
  <c r="I57" i="39"/>
  <c r="I47" i="39"/>
  <c r="I38" i="39"/>
  <c r="I53" i="39"/>
  <c r="I29" i="39"/>
  <c r="I43" i="39"/>
  <c r="I34" i="39"/>
  <c r="I60" i="39"/>
  <c r="I59" i="39"/>
  <c r="I50" i="39"/>
  <c r="I39" i="39"/>
  <c r="F126" i="36"/>
  <c r="E129" i="36"/>
  <c r="AC12" i="21"/>
  <c r="E58" i="9"/>
  <c r="F151" i="9"/>
  <c r="F149" i="36" l="1"/>
  <c r="E153" i="36"/>
  <c r="F153" i="36" s="1"/>
  <c r="E159" i="36"/>
  <c r="F159" i="36" s="1"/>
  <c r="E156" i="36"/>
  <c r="F156" i="36" s="1"/>
  <c r="J28" i="21"/>
  <c r="E43" i="36"/>
  <c r="E50" i="36" s="1"/>
  <c r="F50" i="36" s="1"/>
  <c r="E107" i="36"/>
  <c r="F107" i="36" s="1"/>
  <c r="E107" i="9"/>
  <c r="E106" i="9"/>
  <c r="F106" i="9" s="1"/>
  <c r="E20" i="9"/>
  <c r="F20" i="9" s="1"/>
  <c r="E19" i="9"/>
  <c r="F19" i="9" s="1"/>
  <c r="F105" i="36"/>
  <c r="E37" i="9"/>
  <c r="F37" i="9" s="1"/>
  <c r="E90" i="9"/>
  <c r="E157" i="9"/>
  <c r="E133" i="9"/>
  <c r="E31" i="17"/>
  <c r="F31" i="17" s="1"/>
  <c r="E28" i="17"/>
  <c r="F28" i="17" s="1"/>
  <c r="E21" i="17"/>
  <c r="F21" i="17" s="1"/>
  <c r="E29" i="17"/>
  <c r="F29" i="17" s="1"/>
  <c r="E30" i="17"/>
  <c r="F30" i="17" s="1"/>
  <c r="E25" i="17"/>
  <c r="F25" i="17" s="1"/>
  <c r="E22" i="17"/>
  <c r="F22" i="17" s="1"/>
  <c r="E32" i="17"/>
  <c r="E24" i="17"/>
  <c r="F24" i="17" s="1"/>
  <c r="E27" i="17"/>
  <c r="F27" i="17" s="1"/>
  <c r="E33" i="17"/>
  <c r="F33" i="17" s="1"/>
  <c r="E26" i="17"/>
  <c r="F26" i="17" s="1"/>
  <c r="J29" i="21"/>
  <c r="J30" i="21" s="1"/>
  <c r="J31" i="21" s="1"/>
  <c r="J32" i="21" s="1"/>
  <c r="J33" i="21" s="1"/>
  <c r="J34" i="21" s="1"/>
  <c r="J35" i="21" s="1"/>
  <c r="J36" i="21" s="1"/>
  <c r="J37" i="21" s="1"/>
  <c r="J38" i="21" s="1"/>
  <c r="J39" i="21" s="1"/>
  <c r="J40" i="21" s="1"/>
  <c r="J41" i="21" s="1"/>
  <c r="J42" i="21" s="1"/>
  <c r="J43" i="21" s="1"/>
  <c r="J44" i="21" s="1"/>
  <c r="J45" i="21" s="1"/>
  <c r="J46" i="21" s="1"/>
  <c r="J47" i="21" s="1"/>
  <c r="J48" i="21" s="1"/>
  <c r="J49" i="21" s="1"/>
  <c r="J50" i="21" s="1"/>
  <c r="J51" i="21" s="1"/>
  <c r="J52" i="21" s="1"/>
  <c r="J53" i="21" s="1"/>
  <c r="J54" i="21" s="1"/>
  <c r="J55" i="21" s="1"/>
  <c r="J56" i="21" s="1"/>
  <c r="J57" i="21" s="1"/>
  <c r="J58" i="21" s="1"/>
  <c r="J59" i="21" s="1"/>
  <c r="J60" i="21" s="1"/>
  <c r="J61" i="21" s="1"/>
  <c r="J62" i="21" s="1"/>
  <c r="J63" i="21" s="1"/>
  <c r="J64" i="21" s="1"/>
  <c r="J65" i="21" s="1"/>
  <c r="J66" i="21" s="1"/>
  <c r="J67" i="21" s="1"/>
  <c r="J68" i="21" s="1"/>
  <c r="J69" i="21" s="1"/>
  <c r="J70" i="21" s="1"/>
  <c r="J71" i="21" s="1"/>
  <c r="J72" i="21" s="1"/>
  <c r="E177" i="36"/>
  <c r="F177" i="36" s="1"/>
  <c r="W56" i="39"/>
  <c r="Y56" i="39" s="1"/>
  <c r="E20" i="36"/>
  <c r="F20" i="36" s="1"/>
  <c r="E19" i="36"/>
  <c r="F19" i="36" s="1"/>
  <c r="E197" i="36"/>
  <c r="F197" i="36" s="1"/>
  <c r="F195" i="36"/>
  <c r="E199" i="36"/>
  <c r="F199" i="36" s="1"/>
  <c r="W49" i="34"/>
  <c r="Y49" i="34" s="1"/>
  <c r="W33" i="34"/>
  <c r="Y33" i="34" s="1"/>
  <c r="W60" i="34"/>
  <c r="Y60" i="34" s="1"/>
  <c r="W39" i="34"/>
  <c r="Y39" i="34" s="1"/>
  <c r="W59" i="34"/>
  <c r="Y59" i="34" s="1"/>
  <c r="W41" i="34"/>
  <c r="Y41" i="34" s="1"/>
  <c r="W61" i="34"/>
  <c r="Y61" i="34" s="1"/>
  <c r="Y28" i="21"/>
  <c r="Y75" i="21" s="1"/>
  <c r="V28" i="34"/>
  <c r="V73" i="34" s="1"/>
  <c r="W42" i="34"/>
  <c r="Y42" i="34" s="1"/>
  <c r="W29" i="34"/>
  <c r="Y29" i="34" s="1"/>
  <c r="W45" i="34"/>
  <c r="Y45" i="34" s="1"/>
  <c r="W73" i="21"/>
  <c r="W31" i="34"/>
  <c r="Y31" i="34" s="1"/>
  <c r="W47" i="34"/>
  <c r="Y47" i="34" s="1"/>
  <c r="W34" i="34"/>
  <c r="Y34" i="34" s="1"/>
  <c r="W50" i="34"/>
  <c r="Y50" i="34" s="1"/>
  <c r="W57" i="34"/>
  <c r="Y57" i="34" s="1"/>
  <c r="W37" i="34"/>
  <c r="Y37" i="34" s="1"/>
  <c r="W53" i="34"/>
  <c r="Y53" i="34" s="1"/>
  <c r="E179" i="36"/>
  <c r="E181" i="36" s="1"/>
  <c r="F181" i="36" s="1"/>
  <c r="W63" i="34"/>
  <c r="Y63" i="34" s="1"/>
  <c r="W62" i="34"/>
  <c r="Y62" i="34" s="1"/>
  <c r="W36" i="34"/>
  <c r="Y36" i="34" s="1"/>
  <c r="W44" i="34"/>
  <c r="Y44" i="34" s="1"/>
  <c r="W52" i="34"/>
  <c r="Y52" i="34" s="1"/>
  <c r="W64" i="34"/>
  <c r="Y64" i="34" s="1"/>
  <c r="W30" i="34"/>
  <c r="Y30" i="34" s="1"/>
  <c r="W38" i="34"/>
  <c r="Y38" i="34" s="1"/>
  <c r="W46" i="34"/>
  <c r="Y46" i="34" s="1"/>
  <c r="W58" i="34"/>
  <c r="Y58" i="34" s="1"/>
  <c r="F173" i="36"/>
  <c r="W55" i="34"/>
  <c r="Y55" i="34" s="1"/>
  <c r="W32" i="34"/>
  <c r="Y32" i="34" s="1"/>
  <c r="W40" i="34"/>
  <c r="Y40" i="34" s="1"/>
  <c r="W48" i="34"/>
  <c r="Y48" i="34" s="1"/>
  <c r="W56" i="34"/>
  <c r="Y56" i="34" s="1"/>
  <c r="W54" i="34"/>
  <c r="Y54" i="34" s="1"/>
  <c r="W35" i="34"/>
  <c r="Y35" i="34" s="1"/>
  <c r="W43" i="34"/>
  <c r="Y43" i="34" s="1"/>
  <c r="D15" i="26"/>
  <c r="D23" i="26" s="1"/>
  <c r="D24" i="26" s="1"/>
  <c r="D25" i="26" s="1"/>
  <c r="D26" i="26" s="1"/>
  <c r="D27" i="26" s="1"/>
  <c r="D28" i="26" s="1"/>
  <c r="D29" i="26" s="1"/>
  <c r="D30" i="26" s="1"/>
  <c r="D31" i="26" s="1"/>
  <c r="D32" i="26" s="1"/>
  <c r="D33" i="26" s="1"/>
  <c r="D34" i="26" s="1"/>
  <c r="F57" i="36"/>
  <c r="E59" i="36"/>
  <c r="E22" i="32"/>
  <c r="AK16" i="21"/>
  <c r="AN47" i="21" s="1"/>
  <c r="D14" i="42"/>
  <c r="D22" i="42" s="1"/>
  <c r="D23" i="42" s="1"/>
  <c r="D24" i="42" s="1"/>
  <c r="D25" i="42" s="1"/>
  <c r="D27" i="42" s="1"/>
  <c r="D28" i="42" s="1"/>
  <c r="D29" i="42" s="1"/>
  <c r="D30" i="42" s="1"/>
  <c r="D31" i="42" s="1"/>
  <c r="D33" i="42" s="1"/>
  <c r="D34" i="42" s="1"/>
  <c r="D35" i="42" s="1"/>
  <c r="D36" i="42" s="1"/>
  <c r="D37" i="42" s="1"/>
  <c r="D39" i="42" s="1"/>
  <c r="D40" i="42" s="1"/>
  <c r="D41" i="42" s="1"/>
  <c r="D42" i="42" s="1"/>
  <c r="D43" i="42" s="1"/>
  <c r="W40" i="39"/>
  <c r="Y40" i="39" s="1"/>
  <c r="W44" i="39"/>
  <c r="Y44" i="39" s="1"/>
  <c r="W51" i="39"/>
  <c r="Y51" i="39" s="1"/>
  <c r="W35" i="39"/>
  <c r="Y35" i="39" s="1"/>
  <c r="W53" i="39"/>
  <c r="Y53" i="39" s="1"/>
  <c r="W29" i="39"/>
  <c r="Y29" i="39" s="1"/>
  <c r="AC16" i="39"/>
  <c r="AD28" i="39" s="1"/>
  <c r="W48" i="39"/>
  <c r="Y48" i="39" s="1"/>
  <c r="W34" i="39"/>
  <c r="Y34" i="39" s="1"/>
  <c r="W38" i="39"/>
  <c r="Y38" i="39" s="1"/>
  <c r="AD28" i="34"/>
  <c r="AD73" i="34" s="1"/>
  <c r="W49" i="39"/>
  <c r="Y49" i="39" s="1"/>
  <c r="W62" i="39"/>
  <c r="Y62" i="39" s="1"/>
  <c r="W59" i="39"/>
  <c r="Y59" i="39" s="1"/>
  <c r="W55" i="39"/>
  <c r="Y55" i="39" s="1"/>
  <c r="F79" i="36"/>
  <c r="E80" i="36"/>
  <c r="W46" i="39"/>
  <c r="Y46" i="39" s="1"/>
  <c r="W33" i="39"/>
  <c r="Y33" i="39" s="1"/>
  <c r="W61" i="39"/>
  <c r="Y61" i="39" s="1"/>
  <c r="AC16" i="21"/>
  <c r="AE29" i="21" s="1"/>
  <c r="W58" i="39"/>
  <c r="Y58" i="39" s="1"/>
  <c r="W43" i="39"/>
  <c r="Y43" i="39" s="1"/>
  <c r="W57" i="39"/>
  <c r="Y57" i="39" s="1"/>
  <c r="N28" i="34"/>
  <c r="Q28" i="34" s="1"/>
  <c r="W39" i="39"/>
  <c r="Y39" i="39" s="1"/>
  <c r="V28" i="39"/>
  <c r="V73" i="39" s="1"/>
  <c r="W31" i="39"/>
  <c r="Y31" i="39" s="1"/>
  <c r="E36" i="18"/>
  <c r="F36" i="18" s="1"/>
  <c r="E43" i="18"/>
  <c r="F43" i="18" s="1"/>
  <c r="E29" i="18"/>
  <c r="F29" i="18" s="1"/>
  <c r="E28" i="18"/>
  <c r="F28" i="18" s="1"/>
  <c r="E35" i="18"/>
  <c r="F35" i="18" s="1"/>
  <c r="E42" i="18"/>
  <c r="F42" i="18" s="1"/>
  <c r="E41" i="18"/>
  <c r="F41" i="18" s="1"/>
  <c r="E27" i="18"/>
  <c r="F27" i="18" s="1"/>
  <c r="E34" i="18"/>
  <c r="F34" i="18" s="1"/>
  <c r="E32" i="18"/>
  <c r="F32" i="18" s="1"/>
  <c r="E37" i="18"/>
  <c r="F37" i="18" s="1"/>
  <c r="E33" i="18"/>
  <c r="F33" i="18" s="1"/>
  <c r="E26" i="18"/>
  <c r="F26" i="18" s="1"/>
  <c r="E25" i="18"/>
  <c r="F25" i="18" s="1"/>
  <c r="E40" i="18"/>
  <c r="F40" i="18" s="1"/>
  <c r="E38" i="18"/>
  <c r="F38" i="18" s="1"/>
  <c r="E39" i="18"/>
  <c r="F39" i="18" s="1"/>
  <c r="E30" i="18"/>
  <c r="F30" i="18" s="1"/>
  <c r="E31" i="18"/>
  <c r="F31" i="18" s="1"/>
  <c r="W50" i="39"/>
  <c r="Y50" i="39" s="1"/>
  <c r="W52" i="39"/>
  <c r="Y52" i="39" s="1"/>
  <c r="W42" i="39"/>
  <c r="Y42" i="39" s="1"/>
  <c r="W30" i="39"/>
  <c r="Y30" i="39" s="1"/>
  <c r="BA16" i="21"/>
  <c r="BC28" i="21" s="1"/>
  <c r="W37" i="39"/>
  <c r="Y37" i="39" s="1"/>
  <c r="W45" i="39"/>
  <c r="Y45" i="39" s="1"/>
  <c r="W36" i="39"/>
  <c r="Y36" i="39" s="1"/>
  <c r="W60" i="39"/>
  <c r="Y60" i="39" s="1"/>
  <c r="W54" i="39"/>
  <c r="Y54" i="39" s="1"/>
  <c r="AS16" i="21"/>
  <c r="AU29" i="21" s="1"/>
  <c r="J28" i="39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W41" i="39"/>
  <c r="Y41" i="39" s="1"/>
  <c r="W64" i="39"/>
  <c r="Y64" i="39" s="1"/>
  <c r="W32" i="39"/>
  <c r="Y32" i="39" s="1"/>
  <c r="W47" i="39"/>
  <c r="Y47" i="39" s="1"/>
  <c r="AK13" i="39"/>
  <c r="AK12" i="39"/>
  <c r="F105" i="9"/>
  <c r="AS13" i="39"/>
  <c r="AS12" i="39"/>
  <c r="AE30" i="34"/>
  <c r="AG29" i="34"/>
  <c r="E131" i="36"/>
  <c r="F129" i="36"/>
  <c r="E136" i="36"/>
  <c r="D9" i="18"/>
  <c r="F58" i="9"/>
  <c r="E59" i="9"/>
  <c r="D12" i="8"/>
  <c r="M13" i="21" s="1"/>
  <c r="D11" i="8"/>
  <c r="M12" i="21" s="1"/>
  <c r="D32" i="17"/>
  <c r="J28" i="34"/>
  <c r="J29" i="34" s="1"/>
  <c r="J30" i="34" s="1"/>
  <c r="J31" i="34" s="1"/>
  <c r="J32" i="34" s="1"/>
  <c r="J33" i="34" s="1"/>
  <c r="J34" i="34" s="1"/>
  <c r="J35" i="34" s="1"/>
  <c r="J36" i="34" s="1"/>
  <c r="J37" i="34" s="1"/>
  <c r="J38" i="34" s="1"/>
  <c r="J39" i="34" s="1"/>
  <c r="J40" i="34" s="1"/>
  <c r="J41" i="34" s="1"/>
  <c r="J42" i="34" s="1"/>
  <c r="J43" i="34" s="1"/>
  <c r="J44" i="34" s="1"/>
  <c r="J45" i="34" s="1"/>
  <c r="J46" i="34" s="1"/>
  <c r="J47" i="34" s="1"/>
  <c r="J48" i="34" s="1"/>
  <c r="J49" i="34" s="1"/>
  <c r="J50" i="34" s="1"/>
  <c r="J51" i="34" s="1"/>
  <c r="J52" i="34" s="1"/>
  <c r="J53" i="34" s="1"/>
  <c r="J54" i="34" s="1"/>
  <c r="J55" i="34" s="1"/>
  <c r="J56" i="34" s="1"/>
  <c r="J57" i="34" s="1"/>
  <c r="J58" i="34" s="1"/>
  <c r="J59" i="34" s="1"/>
  <c r="J60" i="34" s="1"/>
  <c r="J61" i="34" s="1"/>
  <c r="J62" i="34" s="1"/>
  <c r="J63" i="34" s="1"/>
  <c r="J64" i="34" s="1"/>
  <c r="J65" i="34" s="1"/>
  <c r="J66" i="34" s="1"/>
  <c r="J67" i="34" s="1"/>
  <c r="J68" i="34" s="1"/>
  <c r="J69" i="34" s="1"/>
  <c r="J70" i="34" s="1"/>
  <c r="J71" i="34" s="1"/>
  <c r="J72" i="34" s="1"/>
  <c r="J73" i="34" s="1"/>
  <c r="N73" i="39"/>
  <c r="Q28" i="39"/>
  <c r="F18" i="9"/>
  <c r="E110" i="36"/>
  <c r="F110" i="36" s="1"/>
  <c r="E157" i="36" l="1"/>
  <c r="F157" i="36" s="1"/>
  <c r="E45" i="36"/>
  <c r="F45" i="36" s="1"/>
  <c r="F43" i="36"/>
  <c r="E24" i="9"/>
  <c r="F24" i="9" s="1"/>
  <c r="E201" i="36"/>
  <c r="D21" i="42"/>
  <c r="E111" i="9"/>
  <c r="C6" i="21" s="1"/>
  <c r="G75" i="21" s="1"/>
  <c r="F32" i="17"/>
  <c r="AG28" i="34"/>
  <c r="Y28" i="34"/>
  <c r="Y73" i="34" s="1"/>
  <c r="Y74" i="34" s="1"/>
  <c r="Y73" i="21"/>
  <c r="Y74" i="21" s="1"/>
  <c r="F107" i="9"/>
  <c r="Y28" i="39"/>
  <c r="Y73" i="39" s="1"/>
  <c r="E23" i="36"/>
  <c r="F23" i="36" s="1"/>
  <c r="F179" i="36"/>
  <c r="AL28" i="21"/>
  <c r="AO28" i="21" s="1"/>
  <c r="W73" i="34"/>
  <c r="AM40" i="21"/>
  <c r="AM73" i="21" s="1"/>
  <c r="D26" i="42"/>
  <c r="D32" i="42" s="1"/>
  <c r="D38" i="42" s="1"/>
  <c r="AD28" i="21"/>
  <c r="AG28" i="21" s="1"/>
  <c r="F59" i="36"/>
  <c r="E60" i="36"/>
  <c r="F60" i="36" s="1"/>
  <c r="E61" i="36"/>
  <c r="F61" i="36" s="1"/>
  <c r="AE29" i="39"/>
  <c r="AE30" i="39" s="1"/>
  <c r="D35" i="26"/>
  <c r="N29" i="34"/>
  <c r="Q29" i="34" s="1"/>
  <c r="Q75" i="34" s="1"/>
  <c r="AK16" i="39"/>
  <c r="AM39" i="39" s="1"/>
  <c r="E38" i="9"/>
  <c r="F80" i="36"/>
  <c r="E81" i="36"/>
  <c r="AT28" i="21"/>
  <c r="AT73" i="21" s="1"/>
  <c r="BB33" i="21"/>
  <c r="BE33" i="21" s="1"/>
  <c r="D16" i="8"/>
  <c r="E23" i="8" s="1"/>
  <c r="M16" i="21"/>
  <c r="N28" i="21" s="1"/>
  <c r="AS16" i="39"/>
  <c r="AU33" i="39" s="1"/>
  <c r="W73" i="39"/>
  <c r="E135" i="9"/>
  <c r="F133" i="9"/>
  <c r="E143" i="9"/>
  <c r="F143" i="9" s="1"/>
  <c r="E140" i="9"/>
  <c r="AG29" i="21"/>
  <c r="AE30" i="21"/>
  <c r="AG28" i="39"/>
  <c r="AD73" i="39"/>
  <c r="F136" i="36"/>
  <c r="E137" i="36"/>
  <c r="F137" i="36" s="1"/>
  <c r="H78" i="21"/>
  <c r="AG30" i="34"/>
  <c r="AE31" i="34"/>
  <c r="E97" i="9"/>
  <c r="F97" i="9" s="1"/>
  <c r="E92" i="9"/>
  <c r="F90" i="9"/>
  <c r="AW29" i="21"/>
  <c r="AU30" i="21"/>
  <c r="BC29" i="21"/>
  <c r="BE28" i="21"/>
  <c r="Q75" i="39"/>
  <c r="Q73" i="39"/>
  <c r="D10" i="18"/>
  <c r="F59" i="9"/>
  <c r="E133" i="36"/>
  <c r="F133" i="36" s="1"/>
  <c r="F131" i="36"/>
  <c r="E161" i="9"/>
  <c r="F161" i="9" s="1"/>
  <c r="E160" i="9"/>
  <c r="F160" i="9" s="1"/>
  <c r="E159" i="9"/>
  <c r="F159" i="9" s="1"/>
  <c r="F157" i="9"/>
  <c r="E60" i="9"/>
  <c r="AO47" i="21"/>
  <c r="AN73" i="21"/>
  <c r="E117" i="36"/>
  <c r="F117" i="36" s="1"/>
  <c r="E112" i="36"/>
  <c r="E114" i="36" s="1"/>
  <c r="F114" i="36" s="1"/>
  <c r="E47" i="36" l="1"/>
  <c r="F47" i="36" s="1"/>
  <c r="E62" i="9"/>
  <c r="F62" i="9" s="1"/>
  <c r="E61" i="9"/>
  <c r="F61" i="9" s="1"/>
  <c r="F201" i="36"/>
  <c r="E203" i="36"/>
  <c r="F203" i="36" s="1"/>
  <c r="E40" i="9"/>
  <c r="F40" i="9" s="1"/>
  <c r="Y75" i="39"/>
  <c r="X75" i="39" s="1"/>
  <c r="G78" i="39" s="1"/>
  <c r="E25" i="36"/>
  <c r="Y75" i="34"/>
  <c r="X75" i="34" s="1"/>
  <c r="G78" i="34" s="1"/>
  <c r="AO40" i="21"/>
  <c r="BB39" i="21"/>
  <c r="BB45" i="21" s="1"/>
  <c r="BE45" i="21" s="1"/>
  <c r="F38" i="9"/>
  <c r="AL29" i="21"/>
  <c r="AL30" i="21" s="1"/>
  <c r="AW28" i="21"/>
  <c r="AD73" i="21"/>
  <c r="D44" i="42"/>
  <c r="E26" i="9"/>
  <c r="F26" i="9" s="1"/>
  <c r="E64" i="36"/>
  <c r="F64" i="36" s="1"/>
  <c r="F111" i="9"/>
  <c r="E118" i="9"/>
  <c r="E119" i="9" s="1"/>
  <c r="F119" i="9" s="1"/>
  <c r="Q73" i="34"/>
  <c r="Q74" i="34" s="1"/>
  <c r="N73" i="34"/>
  <c r="E163" i="9"/>
  <c r="E165" i="9" s="1"/>
  <c r="F165" i="9" s="1"/>
  <c r="E113" i="9"/>
  <c r="E115" i="9" s="1"/>
  <c r="F115" i="9" s="1"/>
  <c r="AG29" i="39"/>
  <c r="E82" i="36"/>
  <c r="E83" i="36"/>
  <c r="F83" i="36" s="1"/>
  <c r="F81" i="36"/>
  <c r="E39" i="9"/>
  <c r="F39" i="9" s="1"/>
  <c r="AW30" i="21"/>
  <c r="AU31" i="21"/>
  <c r="X75" i="21"/>
  <c r="G78" i="21" s="1"/>
  <c r="AE31" i="21"/>
  <c r="AG30" i="21"/>
  <c r="F140" i="9"/>
  <c r="E141" i="9"/>
  <c r="F141" i="9" s="1"/>
  <c r="AM73" i="39"/>
  <c r="AO39" i="39"/>
  <c r="F112" i="36"/>
  <c r="F92" i="9"/>
  <c r="E94" i="9"/>
  <c r="F94" i="9" s="1"/>
  <c r="E137" i="9"/>
  <c r="F137" i="9" s="1"/>
  <c r="F135" i="9"/>
  <c r="AW33" i="39"/>
  <c r="AU39" i="39"/>
  <c r="F60" i="9"/>
  <c r="AG30" i="39"/>
  <c r="AE31" i="39"/>
  <c r="H77" i="34"/>
  <c r="P75" i="34"/>
  <c r="G77" i="34" s="1"/>
  <c r="BE29" i="21"/>
  <c r="BC30" i="21"/>
  <c r="AN51" i="39"/>
  <c r="H77" i="39"/>
  <c r="P75" i="39"/>
  <c r="G77" i="39" s="1"/>
  <c r="AE32" i="34"/>
  <c r="AG31" i="34"/>
  <c r="Q28" i="21"/>
  <c r="N73" i="21"/>
  <c r="H78" i="34" l="1"/>
  <c r="E44" i="9"/>
  <c r="F44" i="9" s="1"/>
  <c r="H78" i="39"/>
  <c r="F25" i="36"/>
  <c r="E27" i="36"/>
  <c r="F27" i="36" s="1"/>
  <c r="F118" i="9"/>
  <c r="BE39" i="21"/>
  <c r="AO29" i="21"/>
  <c r="E28" i="9"/>
  <c r="F28" i="9" s="1"/>
  <c r="F163" i="9"/>
  <c r="E66" i="36"/>
  <c r="E68" i="36" s="1"/>
  <c r="F68" i="36" s="1"/>
  <c r="E71" i="36"/>
  <c r="E72" i="36" s="1"/>
  <c r="F72" i="36" s="1"/>
  <c r="F113" i="9"/>
  <c r="F82" i="36"/>
  <c r="F86" i="36" s="1"/>
  <c r="E86" i="36"/>
  <c r="AE32" i="21"/>
  <c r="AG31" i="21"/>
  <c r="AW39" i="39"/>
  <c r="AU45" i="39"/>
  <c r="AW45" i="39" s="1"/>
  <c r="AN73" i="39"/>
  <c r="AO51" i="39"/>
  <c r="AO75" i="39" s="1"/>
  <c r="E66" i="9"/>
  <c r="Q75" i="21"/>
  <c r="Q73" i="21"/>
  <c r="Q74" i="21" s="1"/>
  <c r="AU32" i="21"/>
  <c r="AW31" i="21"/>
  <c r="BB73" i="21"/>
  <c r="AG31" i="39"/>
  <c r="AE32" i="39"/>
  <c r="AO30" i="21"/>
  <c r="AL31" i="21"/>
  <c r="AG32" i="34"/>
  <c r="AE33" i="34"/>
  <c r="BC31" i="21"/>
  <c r="BE30" i="21"/>
  <c r="F66" i="9"/>
  <c r="F71" i="36" l="1"/>
  <c r="E73" i="36"/>
  <c r="E51" i="9"/>
  <c r="E52" i="9" s="1"/>
  <c r="F52" i="9" s="1"/>
  <c r="E46" i="9"/>
  <c r="F66" i="36"/>
  <c r="E93" i="36"/>
  <c r="E96" i="36"/>
  <c r="F96" i="36" s="1"/>
  <c r="E88" i="36"/>
  <c r="H81" i="39"/>
  <c r="AN75" i="39"/>
  <c r="G81" i="39" s="1"/>
  <c r="AU73" i="39"/>
  <c r="BC32" i="21"/>
  <c r="BE31" i="21"/>
  <c r="AG32" i="39"/>
  <c r="AE33" i="39"/>
  <c r="H77" i="21"/>
  <c r="P75" i="21"/>
  <c r="G77" i="21" s="1"/>
  <c r="AE33" i="21"/>
  <c r="AG32" i="21"/>
  <c r="E76" i="9"/>
  <c r="F76" i="9" s="1"/>
  <c r="E73" i="9"/>
  <c r="E68" i="9"/>
  <c r="AV51" i="39"/>
  <c r="AG33" i="34"/>
  <c r="AE34" i="34"/>
  <c r="AL32" i="21"/>
  <c r="AO31" i="21"/>
  <c r="F46" i="9"/>
  <c r="AO73" i="39"/>
  <c r="AW32" i="21"/>
  <c r="AU33" i="21"/>
  <c r="E48" i="9" l="1"/>
  <c r="F48" i="9" s="1"/>
  <c r="F51" i="9"/>
  <c r="E90" i="36"/>
  <c r="F90" i="36" s="1"/>
  <c r="F88" i="36"/>
  <c r="F93" i="36"/>
  <c r="E94" i="36"/>
  <c r="F94" i="36" s="1"/>
  <c r="AU34" i="21"/>
  <c r="AW33" i="21"/>
  <c r="AE34" i="39"/>
  <c r="AG33" i="39"/>
  <c r="AO32" i="21"/>
  <c r="AL33" i="21"/>
  <c r="E70" i="9"/>
  <c r="F70" i="9" s="1"/>
  <c r="F68" i="9"/>
  <c r="AE34" i="21"/>
  <c r="AG33" i="21"/>
  <c r="BC34" i="21"/>
  <c r="BE32" i="21"/>
  <c r="E74" i="9"/>
  <c r="F74" i="9" s="1"/>
  <c r="F73" i="9"/>
  <c r="AG34" i="34"/>
  <c r="AE35" i="34"/>
  <c r="AW51" i="39"/>
  <c r="AV73" i="39"/>
  <c r="AG35" i="34" l="1"/>
  <c r="AE36" i="34"/>
  <c r="AG34" i="21"/>
  <c r="AE35" i="21"/>
  <c r="AL34" i="21"/>
  <c r="AO33" i="21"/>
  <c r="AW73" i="39"/>
  <c r="AW75" i="39"/>
  <c r="AU35" i="21"/>
  <c r="AW34" i="21"/>
  <c r="BC35" i="21"/>
  <c r="BE34" i="21"/>
  <c r="AG34" i="39"/>
  <c r="AE35" i="39"/>
  <c r="AG35" i="39" l="1"/>
  <c r="AE36" i="39"/>
  <c r="H82" i="39"/>
  <c r="AV75" i="39"/>
  <c r="G82" i="39" s="1"/>
  <c r="AG36" i="34"/>
  <c r="AE37" i="34"/>
  <c r="AW35" i="21"/>
  <c r="AU36" i="21"/>
  <c r="BC36" i="21"/>
  <c r="BE35" i="21"/>
  <c r="AL35" i="21"/>
  <c r="AO34" i="21"/>
  <c r="AE36" i="21"/>
  <c r="AG35" i="21"/>
  <c r="AE37" i="21" l="1"/>
  <c r="AG36" i="21"/>
  <c r="AO35" i="21"/>
  <c r="AL36" i="21"/>
  <c r="AG36" i="39"/>
  <c r="AE37" i="39"/>
  <c r="AU37" i="21"/>
  <c r="AW36" i="21"/>
  <c r="BC37" i="21"/>
  <c r="BE36" i="21"/>
  <c r="AG37" i="34"/>
  <c r="AE38" i="34"/>
  <c r="AE38" i="21" l="1"/>
  <c r="AG37" i="21"/>
  <c r="AU38" i="21"/>
  <c r="AW37" i="21"/>
  <c r="BC38" i="21"/>
  <c r="BE37" i="21"/>
  <c r="AL37" i="21"/>
  <c r="AO36" i="21"/>
  <c r="AE38" i="39"/>
  <c r="AG37" i="39"/>
  <c r="AG38" i="34"/>
  <c r="AE39" i="34"/>
  <c r="AL38" i="21" l="1"/>
  <c r="AO37" i="21"/>
  <c r="AU39" i="21"/>
  <c r="AW38" i="21"/>
  <c r="AE39" i="39"/>
  <c r="AG38" i="39"/>
  <c r="AE39" i="21"/>
  <c r="AG38" i="21"/>
  <c r="BC40" i="21"/>
  <c r="BE38" i="21"/>
  <c r="AG39" i="34"/>
  <c r="AE40" i="34"/>
  <c r="AU40" i="21" l="1"/>
  <c r="AW39" i="21"/>
  <c r="AL39" i="21"/>
  <c r="AO38" i="21"/>
  <c r="BC41" i="21"/>
  <c r="BE40" i="21"/>
  <c r="AE40" i="21"/>
  <c r="AG39" i="21"/>
  <c r="AG39" i="39"/>
  <c r="AE40" i="39"/>
  <c r="AG40" i="34"/>
  <c r="AE41" i="34"/>
  <c r="AO39" i="21" l="1"/>
  <c r="AL73" i="21"/>
  <c r="AG40" i="39"/>
  <c r="AE41" i="39"/>
  <c r="AU41" i="21"/>
  <c r="AW40" i="21"/>
  <c r="BC42" i="21"/>
  <c r="BE41" i="21"/>
  <c r="AG40" i="21"/>
  <c r="AE41" i="21"/>
  <c r="AG41" i="34"/>
  <c r="AE42" i="34"/>
  <c r="AG41" i="21" l="1"/>
  <c r="AE42" i="21"/>
  <c r="AO73" i="21"/>
  <c r="AO74" i="21" s="1"/>
  <c r="AO75" i="21"/>
  <c r="BC43" i="21"/>
  <c r="BE42" i="21"/>
  <c r="AU42" i="21"/>
  <c r="AW41" i="21"/>
  <c r="AG42" i="34"/>
  <c r="AE43" i="34"/>
  <c r="AG41" i="39"/>
  <c r="AE42" i="39"/>
  <c r="BC44" i="21" l="1"/>
  <c r="BE43" i="21"/>
  <c r="H80" i="21"/>
  <c r="AN75" i="21"/>
  <c r="G80" i="21" s="1"/>
  <c r="AE43" i="39"/>
  <c r="AG42" i="39"/>
  <c r="AG43" i="34"/>
  <c r="AE44" i="34"/>
  <c r="AG42" i="21"/>
  <c r="AE43" i="21"/>
  <c r="AU43" i="21"/>
  <c r="AW42" i="21"/>
  <c r="AG43" i="39" l="1"/>
  <c r="AE44" i="39"/>
  <c r="AG44" i="34"/>
  <c r="AE45" i="34"/>
  <c r="AU44" i="21"/>
  <c r="AW43" i="21"/>
  <c r="AG43" i="21"/>
  <c r="AE44" i="21"/>
  <c r="BC46" i="21"/>
  <c r="BE44" i="21"/>
  <c r="AG45" i="34" l="1"/>
  <c r="AE46" i="34"/>
  <c r="BE46" i="21"/>
  <c r="BC47" i="21"/>
  <c r="AG44" i="21"/>
  <c r="AE45" i="21"/>
  <c r="AU45" i="21"/>
  <c r="AW44" i="21"/>
  <c r="AG44" i="39"/>
  <c r="AE45" i="39"/>
  <c r="AU46" i="21" l="1"/>
  <c r="AW45" i="21"/>
  <c r="BC48" i="21"/>
  <c r="BE47" i="21"/>
  <c r="AE46" i="21"/>
  <c r="AG45" i="21"/>
  <c r="AG45" i="39"/>
  <c r="AE46" i="39"/>
  <c r="AG46" i="34"/>
  <c r="AE47" i="34"/>
  <c r="AE47" i="39" l="1"/>
  <c r="AG46" i="39"/>
  <c r="AE47" i="21"/>
  <c r="AG46" i="21"/>
  <c r="BC49" i="21"/>
  <c r="BE48" i="21"/>
  <c r="AU47" i="21"/>
  <c r="AW46" i="21"/>
  <c r="AG47" i="34"/>
  <c r="AE48" i="34"/>
  <c r="AW47" i="21" l="1"/>
  <c r="AU48" i="21"/>
  <c r="AE48" i="21"/>
  <c r="AG47" i="21"/>
  <c r="AG47" i="39"/>
  <c r="AE48" i="39"/>
  <c r="BC50" i="21"/>
  <c r="BE49" i="21"/>
  <c r="AG48" i="34"/>
  <c r="AE49" i="34"/>
  <c r="BE50" i="21" l="1"/>
  <c r="BD51" i="21"/>
  <c r="BC73" i="21"/>
  <c r="AG48" i="39"/>
  <c r="AE49" i="39"/>
  <c r="AE49" i="21"/>
  <c r="AG48" i="21"/>
  <c r="AG49" i="34"/>
  <c r="AE50" i="34"/>
  <c r="AW48" i="21"/>
  <c r="AU49" i="21"/>
  <c r="AE50" i="21" l="1"/>
  <c r="AG49" i="21"/>
  <c r="AE50" i="39"/>
  <c r="AG49" i="39"/>
  <c r="AG50" i="34"/>
  <c r="AE51" i="34"/>
  <c r="AW49" i="21"/>
  <c r="AU50" i="21"/>
  <c r="BD73" i="21"/>
  <c r="BE51" i="21"/>
  <c r="AE51" i="21" l="1"/>
  <c r="AG50" i="21"/>
  <c r="AG50" i="39"/>
  <c r="AE51" i="39"/>
  <c r="AW50" i="21"/>
  <c r="AU51" i="21"/>
  <c r="AG51" i="34"/>
  <c r="AE52" i="34"/>
  <c r="BE75" i="21"/>
  <c r="BE73" i="21"/>
  <c r="BE74" i="21" s="1"/>
  <c r="AG51" i="39" l="1"/>
  <c r="AE52" i="39"/>
  <c r="AG52" i="34"/>
  <c r="AE53" i="34"/>
  <c r="AW51" i="21"/>
  <c r="AU52" i="21"/>
  <c r="BD75" i="21"/>
  <c r="G82" i="21" s="1"/>
  <c r="H82" i="21"/>
  <c r="AE52" i="21"/>
  <c r="AG51" i="21"/>
  <c r="AG53" i="34" l="1"/>
  <c r="AE73" i="34"/>
  <c r="AE53" i="21"/>
  <c r="AG52" i="21"/>
  <c r="AW52" i="21"/>
  <c r="AU73" i="21"/>
  <c r="AV53" i="21"/>
  <c r="AG52" i="39"/>
  <c r="AE53" i="39"/>
  <c r="AG53" i="39" l="1"/>
  <c r="AE73" i="39"/>
  <c r="AG73" i="34"/>
  <c r="AG74" i="34" s="1"/>
  <c r="AV73" i="21"/>
  <c r="AW53" i="21"/>
  <c r="AE54" i="21"/>
  <c r="AG53" i="21"/>
  <c r="AE55" i="21" l="1"/>
  <c r="AG54" i="21"/>
  <c r="AW73" i="21"/>
  <c r="AW74" i="21" s="1"/>
  <c r="AW75" i="21"/>
  <c r="H79" i="34"/>
  <c r="AF75" i="34"/>
  <c r="G79" i="34" s="1"/>
  <c r="AG75" i="39"/>
  <c r="AG73" i="39"/>
  <c r="AG55" i="21" l="1"/>
  <c r="AE56" i="21"/>
  <c r="H81" i="21"/>
  <c r="AV75" i="21"/>
  <c r="G81" i="21" s="1"/>
  <c r="H80" i="39"/>
  <c r="AF75" i="39"/>
  <c r="G80" i="39" s="1"/>
  <c r="AG56" i="21" l="1"/>
  <c r="AE57" i="21"/>
  <c r="AG57" i="21" l="1"/>
  <c r="AE58" i="21"/>
  <c r="AE59" i="21" l="1"/>
  <c r="AG58" i="21"/>
  <c r="AG59" i="21" l="1"/>
  <c r="AE60" i="21"/>
  <c r="AG60" i="21" l="1"/>
  <c r="AE61" i="21"/>
  <c r="AG61" i="21" l="1"/>
  <c r="AE62" i="21"/>
  <c r="AE63" i="21" l="1"/>
  <c r="AG62" i="21"/>
  <c r="AG63" i="21" l="1"/>
  <c r="AE64" i="21"/>
  <c r="AG64" i="21" l="1"/>
  <c r="AE73" i="21"/>
  <c r="AG75" i="21" l="1"/>
  <c r="AG73" i="21"/>
  <c r="AG74" i="21" s="1"/>
  <c r="H79" i="21" l="1"/>
  <c r="AF75" i="21"/>
  <c r="G79" i="21" s="1"/>
</calcChain>
</file>

<file path=xl/sharedStrings.xml><?xml version="1.0" encoding="utf-8"?>
<sst xmlns="http://schemas.openxmlformats.org/spreadsheetml/2006/main" count="5565" uniqueCount="941">
  <si>
    <t>Client Name</t>
  </si>
  <si>
    <t>Marital Consent</t>
  </si>
  <si>
    <t>Sales Associate</t>
  </si>
  <si>
    <t>Cluster</t>
  </si>
  <si>
    <t>Project Name</t>
  </si>
  <si>
    <t>Project Description</t>
  </si>
  <si>
    <t>Phase / Building</t>
  </si>
  <si>
    <t>Phase / Building Description</t>
  </si>
  <si>
    <t>Block / Floor Code</t>
  </si>
  <si>
    <t>Block / Floor Description</t>
  </si>
  <si>
    <t>Lot / Unit / Share Number</t>
  </si>
  <si>
    <t>Inventory Unit Number</t>
  </si>
  <si>
    <t>Inventory Reference Object</t>
  </si>
  <si>
    <t>Cluster Code</t>
  </si>
  <si>
    <t>Cluster Description</t>
  </si>
  <si>
    <t>Management Group Code</t>
  </si>
  <si>
    <t>Management Group Description</t>
  </si>
  <si>
    <t>Sales Inventory Group Code</t>
  </si>
  <si>
    <t>Sales Inventory Group Description</t>
  </si>
  <si>
    <t>Adjoining Units</t>
  </si>
  <si>
    <t>Area Type - Gross Area</t>
  </si>
  <si>
    <t>Availability</t>
  </si>
  <si>
    <t>Product Type Description</t>
  </si>
  <si>
    <t>Product Use Code</t>
  </si>
  <si>
    <t>Product Use Name</t>
  </si>
  <si>
    <t>Product Sub Type Code</t>
  </si>
  <si>
    <t>Product Sub Type Name</t>
  </si>
  <si>
    <t>Product Attribute Code</t>
  </si>
  <si>
    <t>Product Attribute Name</t>
  </si>
  <si>
    <t>Room Type</t>
  </si>
  <si>
    <t>Room Type Description</t>
  </si>
  <si>
    <t>Total Lot List Price</t>
  </si>
  <si>
    <t>TLP Effectivity Date</t>
  </si>
  <si>
    <t>Fit Out Fund TLP</t>
  </si>
  <si>
    <t>Fit Out Fund Date</t>
  </si>
  <si>
    <t>Initial Working Capital TLP</t>
  </si>
  <si>
    <t>Initial Working Capital Date</t>
  </si>
  <si>
    <t>FCA Total List Price</t>
  </si>
  <si>
    <t>FCA Total List Price Date</t>
  </si>
  <si>
    <t>PG</t>
  </si>
  <si>
    <t>PG Description</t>
  </si>
  <si>
    <t>Product Category</t>
  </si>
  <si>
    <t>Product Category Description</t>
  </si>
  <si>
    <t>Market Segment Code</t>
  </si>
  <si>
    <t>Market Segment Description</t>
  </si>
  <si>
    <t>Survey Permit Number</t>
  </si>
  <si>
    <t>House Model Short Name</t>
  </si>
  <si>
    <t>House Model Long Name</t>
  </si>
  <si>
    <t>Total House List Price</t>
  </si>
  <si>
    <t>House TLP Effectivity Date</t>
  </si>
  <si>
    <t>Availability Valid From</t>
  </si>
  <si>
    <t>Availability Valid To</t>
  </si>
  <si>
    <t>Contract Number</t>
  </si>
  <si>
    <t>Customer Number</t>
  </si>
  <si>
    <t>Customer Name</t>
  </si>
  <si>
    <t>Contract Type Code</t>
  </si>
  <si>
    <t>Contract Type Description</t>
  </si>
  <si>
    <t>Sales Contract Status</t>
  </si>
  <si>
    <t>IREQ</t>
  </si>
  <si>
    <t>CREQ</t>
  </si>
  <si>
    <t>SDOC</t>
  </si>
  <si>
    <t>Physical Condition</t>
  </si>
  <si>
    <t>Physical Condition Date Tagged</t>
  </si>
  <si>
    <t>Move-in Date</t>
  </si>
  <si>
    <t>Occupied Date</t>
  </si>
  <si>
    <t>Acceptance Date</t>
  </si>
  <si>
    <t>Deemed Accepted Date</t>
  </si>
  <si>
    <t>Turn-over to Buyer Date</t>
  </si>
  <si>
    <t>House Completion (%)</t>
  </si>
  <si>
    <t>Percentage Completion Date Tagged</t>
  </si>
  <si>
    <t>Qualified Date Tagged</t>
  </si>
  <si>
    <t>Unit Active Statuses (OR)</t>
  </si>
  <si>
    <t>Unit Active Statuses (AND)</t>
  </si>
  <si>
    <t>Status DateTagged TaggedBy</t>
  </si>
  <si>
    <t>Status Date Tagged</t>
  </si>
  <si>
    <t>Deactivated Statuses</t>
  </si>
  <si>
    <t>Status Date Deactivated</t>
  </si>
  <si>
    <t>Sale (SLE) Date Tagged</t>
  </si>
  <si>
    <t>Sale (SLE) Tagged By</t>
  </si>
  <si>
    <t>Sale (SLE) Ageing</t>
  </si>
  <si>
    <t>Sale (SLE) Remarks</t>
  </si>
  <si>
    <t>Allocation Code</t>
  </si>
  <si>
    <t>Allocation Description</t>
  </si>
  <si>
    <t>Allocation Date Tagged</t>
  </si>
  <si>
    <t>EWBC Portfolio Date Tagged</t>
  </si>
  <si>
    <t>Broker Hold (BH) Remarks</t>
  </si>
  <si>
    <t>Broker Hold (BH) Created By</t>
  </si>
  <si>
    <t>Milestone</t>
  </si>
  <si>
    <t>Milestone Date Tagged</t>
  </si>
  <si>
    <t>Sharing &amp; Ownership</t>
  </si>
  <si>
    <t>Standard Percentage Share</t>
  </si>
  <si>
    <t>TCT Number</t>
  </si>
  <si>
    <t>TCT Status</t>
  </si>
  <si>
    <t>Recipient Code</t>
  </si>
  <si>
    <t>Recipient Name</t>
  </si>
  <si>
    <t>TCT Registered Owner</t>
  </si>
  <si>
    <t>Purpose of Release Code</t>
  </si>
  <si>
    <t>Purpose of Release Name</t>
  </si>
  <si>
    <t>Purpose of Release Status Code</t>
  </si>
  <si>
    <t>Purpose of Release Status Name</t>
  </si>
  <si>
    <t>BREN</t>
  </si>
  <si>
    <t>BRENTVILLE INTERNATIONAL</t>
  </si>
  <si>
    <t>D-506100</t>
  </si>
  <si>
    <t>SUNSHINE PLACE</t>
  </si>
  <si>
    <t>B1</t>
  </si>
  <si>
    <t>L11</t>
  </si>
  <si>
    <t>2009INVUNT0000033819</t>
  </si>
  <si>
    <t>CLT9</t>
  </si>
  <si>
    <t>FAI-Managed</t>
  </si>
  <si>
    <t>Brentville</t>
  </si>
  <si>
    <t>SIG-Brentville</t>
  </si>
  <si>
    <t xml:space="preserve">AREA = 428.00000 ; </t>
  </si>
  <si>
    <t xml:space="preserve"> </t>
  </si>
  <si>
    <t>Lot</t>
  </si>
  <si>
    <t>RESD</t>
  </si>
  <si>
    <t>Residential</t>
  </si>
  <si>
    <t>10/29/2016 12:00:00 AM</t>
  </si>
  <si>
    <t>PG10</t>
  </si>
  <si>
    <t xml:space="preserve">0011      </t>
  </si>
  <si>
    <t>Subdivision</t>
  </si>
  <si>
    <t>High End</t>
  </si>
  <si>
    <t>PSD-04-121710</t>
  </si>
  <si>
    <t>Available</t>
  </si>
  <si>
    <t>8/11/2009 8:56:57 PM</t>
  </si>
  <si>
    <t xml:space="preserve">UO ; </t>
  </si>
  <si>
    <t xml:space="preserve">02/01/2005 ; </t>
  </si>
  <si>
    <t xml:space="preserve">OFS ; LOC ; ULNCH ; </t>
  </si>
  <si>
    <t xml:space="preserve">OFS | 05/04/2011 01:27PM | TINRA ; LOC | 11/17/2015 12:04AM | SYSTEM ; ULNCH | 11/17/2015 12:04AM | SYSTEM ; </t>
  </si>
  <si>
    <t xml:space="preserve">05/04/2011 ; 11/17/2015 ; 11/17/2015 ; </t>
  </si>
  <si>
    <t xml:space="preserve">TH0 ; OFS ; ZERO ; M0 ; ZERO ; </t>
  </si>
  <si>
    <t xml:space="preserve">05/04/2011 ; 05/04/2011 ; 05/04/2011 ; 05/04/2011 ; 05/04/2011 ; </t>
  </si>
  <si>
    <t>LOC</t>
  </si>
  <si>
    <t>Local Inventory</t>
  </si>
  <si>
    <t>11/17/2015 12:04:53 AM</t>
  </si>
  <si>
    <t xml:space="preserve">TDLAND ; WLTS ; </t>
  </si>
  <si>
    <t xml:space="preserve">08/03/2010 ; 04/28/2012 ; </t>
  </si>
  <si>
    <t xml:space="preserve">FILINVEST LAND, INCORPORATED ; </t>
  </si>
  <si>
    <t xml:space="preserve">100.00000 ; </t>
  </si>
  <si>
    <t>T-448760</t>
  </si>
  <si>
    <t xml:space="preserve">T01 ; </t>
  </si>
  <si>
    <t>FILINVEST LAND, INCORPORATED</t>
  </si>
  <si>
    <t>L23</t>
  </si>
  <si>
    <t>2009INVUNT0000033831</t>
  </si>
  <si>
    <t xml:space="preserve">AREA = 421.00000 ; </t>
  </si>
  <si>
    <t xml:space="preserve">OFS | 05/04/2011 02:01PM | TINRA ; LOC | 11/17/2015 12:04AM | SYSTEM ; ULNCH | 11/17/2015 12:04AM | SYSTEM ; </t>
  </si>
  <si>
    <t xml:space="preserve">OFS ; ZERO ; M0 ; ZERO ; </t>
  </si>
  <si>
    <t xml:space="preserve">05/04/2011 ; 05/04/2011 ; 05/04/2011 ; 05/04/2011 ; </t>
  </si>
  <si>
    <t>T-448772</t>
  </si>
  <si>
    <t>L9</t>
  </si>
  <si>
    <t>2009INVUNT0000033817</t>
  </si>
  <si>
    <t xml:space="preserve">AREA = 386.00000 ; </t>
  </si>
  <si>
    <t>9/15/2015 4:01:14 PM</t>
  </si>
  <si>
    <t xml:space="preserve">OFS | 10/07/2016 12:10AM | SYSTEM ; LOC | 11/17/2015 12:04AM | SYSTEM ; ULNCH | 11/17/2015 12:04AM | SYSTEM ; </t>
  </si>
  <si>
    <t xml:space="preserve">10/07/2016 ; 11/17/2015 ; 11/17/2015 ; </t>
  </si>
  <si>
    <t xml:space="preserve">FF1 ; FF0 ; SOLD ; OFS ; SLE ; ZERO ; OFS ; EATS ; ZERO ; M0 ; FFD0 ; R0 ; ZERO ; </t>
  </si>
  <si>
    <t xml:space="preserve">10/16/2015 ; 10/16/2015 ; 09/14/2015 ; 07/01/2014 ; 07/01/2014 ; 10/07/2016 ; 05/04/2011 ; 05/04/2011 ; 05/04/2011 ; 05/04/2011 ; 05/04/2011 ; 05/04/2011 ; 05/04/2011 ; </t>
  </si>
  <si>
    <t xml:space="preserve">WLTS ; TDLAND ; </t>
  </si>
  <si>
    <t xml:space="preserve">04/28/2012 ; 08/03/2010 ; </t>
  </si>
  <si>
    <t>T-695457</t>
  </si>
  <si>
    <t>B15</t>
  </si>
  <si>
    <t>L1</t>
  </si>
  <si>
    <t>2009INVUNT0000033888</t>
  </si>
  <si>
    <t xml:space="preserve">AREA = 734.00000 ; </t>
  </si>
  <si>
    <t>PSD-04-129079</t>
  </si>
  <si>
    <t xml:space="preserve">OFS | 05/04/2011 02:04PM | TINRA ; LOC | 11/17/2015 12:04AM | SYSTEM ; ULNCH | 11/17/2015 12:04AM | SYSTEM ; </t>
  </si>
  <si>
    <t>T-461915</t>
  </si>
  <si>
    <t>L3</t>
  </si>
  <si>
    <t>2009INVUNT0000033890</t>
  </si>
  <si>
    <t xml:space="preserve">AREA = 1001.00000 ; </t>
  </si>
  <si>
    <t>1/28/2018 12:56:11 AM</t>
  </si>
  <si>
    <t xml:space="preserve">OFS | 01/28/2018 12:09AM | SYSTEM ; LOC | 11/17/2015 12:04AM | SYSTEM ; ULNCH | 11/17/2015 12:04AM | SYSTEM ; </t>
  </si>
  <si>
    <t xml:space="preserve">01/28/2018 ; 11/17/2015 ; 11/17/2015 ; </t>
  </si>
  <si>
    <t xml:space="preserve">SLE ; FF0 ; ZERO ; FF0 ; ZERO ; SOLD ; OFS ; ZERO ; M0 ; ZERO ; BH ; OFS ; OFS ; SLE ; SOLD ; </t>
  </si>
  <si>
    <t xml:space="preserve">01/16/2018 ; 11/25/2017 ; 11/25/2017 ; 01/28/2018 ; 01/28/2018 ; 01/27/2018 ; 05/04/2011 ; 05/04/2011 ; 05/04/2011 ; 05/04/2011 ; 10/03/2017 ; 01/04/2018 ; 10/03/2017 ; 10/03/2017 ; 11/24/2017 ; </t>
  </si>
  <si>
    <t>T-461917</t>
  </si>
  <si>
    <t xml:space="preserve">LOC ; ULNCH ; OFS ; </t>
  </si>
  <si>
    <t>B9</t>
  </si>
  <si>
    <t>L5</t>
  </si>
  <si>
    <t>2009INVUNT0000033870</t>
  </si>
  <si>
    <t xml:space="preserve">AREA = 848.00000 ; </t>
  </si>
  <si>
    <t>PCS-04-014375</t>
  </si>
  <si>
    <t xml:space="preserve">OFS | 05/04/2011 02:13PM | TINRA ; LOC | 11/17/2015 12:04AM | SYSTEM ; ULNCH | 11/17/2015 12:04AM | SYSTEM ; </t>
  </si>
  <si>
    <t>T-444734</t>
  </si>
  <si>
    <t>L6</t>
  </si>
  <si>
    <t>2009INVUNT0000033871</t>
  </si>
  <si>
    <t xml:space="preserve">AREA = 604.00000 ; </t>
  </si>
  <si>
    <t>T-444735</t>
  </si>
  <si>
    <t>2009INVUNT0000033874</t>
  </si>
  <si>
    <t xml:space="preserve">AREA = 738.00000 ; </t>
  </si>
  <si>
    <t>7/3/2010 4:29:16 PM</t>
  </si>
  <si>
    <t xml:space="preserve">REAP ; OFS ; LOC ; ULNCH ; </t>
  </si>
  <si>
    <t xml:space="preserve">OFS | 09/23/2011 04:26PM | TINRA ; REAP | 07/05/2011 03:01PM | MR.007 - J1102561 ; LOC | 11/17/2015 12:04AM | SYSTEM ; ULNCH | 11/17/2015 12:04AM | SYSTEM ; </t>
  </si>
  <si>
    <t xml:space="preserve">07/05/2011 ; 09/23/2011 ; 11/17/2015 ; 11/17/2015 ; </t>
  </si>
  <si>
    <t xml:space="preserve">ZERO ; BH ; SLE ; EATS ; FF0 ; JOUR ; M0 ; SOLD ; </t>
  </si>
  <si>
    <t xml:space="preserve">09/23/2011 ; 02/26/2017 ; 01/06/2010 ; 01/06/2010 ; 01/06/2010 ; 07/05/2011 ; 05/06/2011 ; 07/02/2010 ; </t>
  </si>
  <si>
    <t>T-444738</t>
  </si>
  <si>
    <t>B4</t>
  </si>
  <si>
    <t>L4</t>
  </si>
  <si>
    <t>2009INVUNT0000033844</t>
  </si>
  <si>
    <t xml:space="preserve">AREA = 461.00000 ; </t>
  </si>
  <si>
    <t>House and Lot</t>
  </si>
  <si>
    <t>PSD-04-128571</t>
  </si>
  <si>
    <t>030-340.00SDU245COCO 1 LARISSA</t>
  </si>
  <si>
    <t>6/9/2008 12:00:00 AM</t>
  </si>
  <si>
    <t>2/17/2005 12:00:00 AM</t>
  </si>
  <si>
    <t xml:space="preserve">UO ; OTCI ; POHC ; OSCM ; </t>
  </si>
  <si>
    <t xml:space="preserve">02/01/2005 ; 02/01/2005 ; 04/29/2005 ; 11/13/2015 ; </t>
  </si>
  <si>
    <t>4/29/2005 12:00:00 AM</t>
  </si>
  <si>
    <t xml:space="preserve">OFS | 05/05/2011 09:42AM | TINRA ; LOC | 11/17/2015 12:04AM | SYSTEM ; ULNCH | 11/17/2015 12:04AM | SYSTEM ; </t>
  </si>
  <si>
    <t xml:space="preserve">05/05/2011 ; 11/17/2015 ; 11/17/2015 ; </t>
  </si>
  <si>
    <t xml:space="preserve">MH ; M0 ; ZERO ; </t>
  </si>
  <si>
    <t xml:space="preserve">05/05/2011 ; 05/05/2011 ; 05/05/2011 ; </t>
  </si>
  <si>
    <t xml:space="preserve">BLDGP ; TDLAND ; WOPI ; WLTS ; TDBLDG ; </t>
  </si>
  <si>
    <t xml:space="preserve">08/04/2010 ; 08/03/2010 ; 08/04/2010 ; 04/28/2012 ; 06/02/2011 ; </t>
  </si>
  <si>
    <t>T-461955</t>
  </si>
  <si>
    <t>D-506400</t>
  </si>
  <si>
    <t>THE MERIDIEN</t>
  </si>
  <si>
    <t>B2</t>
  </si>
  <si>
    <t>L13</t>
  </si>
  <si>
    <t>2009INVUNT0000033981</t>
  </si>
  <si>
    <t xml:space="preserve">AREA = 1309.00000 ; </t>
  </si>
  <si>
    <t>3/16/2010 2:18:48 PM</t>
  </si>
  <si>
    <t xml:space="preserve">OFS | 05/04/2011 03:27PM | TINRA ; REAP | 07/05/2011 03:01PM | MR.007 - J1102561 ; LOC | 11/17/2015 12:04AM | SYSTEM ; ULNCH | 11/17/2015 12:04AM | SYSTEM ; </t>
  </si>
  <si>
    <t xml:space="preserve">07/05/2011 ; 05/04/2011 ; 11/17/2015 ; 11/17/2015 ; </t>
  </si>
  <si>
    <t xml:space="preserve">JOUR ; SLE ; OFS ; EATS ; SOLD ; ZERO ; OFS ; M0 ; FF0 ; ZERO ; </t>
  </si>
  <si>
    <t xml:space="preserve">07/05/2011 ; 11/06/2009 ; 11/06/2009 ; 11/06/2009 ; 03/15/2010 ; 06/02/2010 ; 05/04/2011 ; 05/04/2011 ; 05/04/2011 ; 05/04/2011 ; </t>
  </si>
  <si>
    <t xml:space="preserve">08/02/2010 ; 04/28/2012 ; </t>
  </si>
  <si>
    <t>T-444675</t>
  </si>
  <si>
    <t xml:space="preserve">WLTS ; </t>
  </si>
  <si>
    <t xml:space="preserve">04/28/2012 ; </t>
  </si>
  <si>
    <t>2009INVUNT0000033993</t>
  </si>
  <si>
    <t xml:space="preserve">AREA = 973.00000 ; </t>
  </si>
  <si>
    <t>8/8/2007 12:00:00 AM</t>
  </si>
  <si>
    <t xml:space="preserve">OFS | 05/04/2011 03:29PM | TINRA ; LOC | 11/17/2015 12:04AM | SYSTEM ; ULNCH | 11/17/2015 12:04AM | SYSTEM ; </t>
  </si>
  <si>
    <t xml:space="preserve">04/28/2012 ; 08/02/2010 ; </t>
  </si>
  <si>
    <t>T-444689</t>
  </si>
  <si>
    <t>B5</t>
  </si>
  <si>
    <t>2009INVUNT0000034009</t>
  </si>
  <si>
    <t xml:space="preserve">AREA = 1060.00000 ; </t>
  </si>
  <si>
    <t xml:space="preserve">OFS | 05/04/2011 03:30PM | TINRA ; LOC | 11/17/2015 12:04AM | SYSTEM ; ULNCH | 11/17/2015 12:04AM | SYSTEM ; </t>
  </si>
  <si>
    <t>T-444707</t>
  </si>
  <si>
    <t>L14</t>
  </si>
  <si>
    <t>2009INVUNT0000034010</t>
  </si>
  <si>
    <t xml:space="preserve">AREA = 959.00000 ; </t>
  </si>
  <si>
    <t xml:space="preserve">OFS | 05/04/2011 03:31PM | TINRA ; LOC | 11/17/2015 12:04AM | SYSTEM ; ULNCH | 11/17/2015 12:04AM | SYSTEM ; </t>
  </si>
  <si>
    <t>T-444708</t>
  </si>
  <si>
    <t>L2</t>
  </si>
  <si>
    <t>Product Type</t>
  </si>
  <si>
    <t>D-506500</t>
  </si>
  <si>
    <t>WOODMORE SPRING A</t>
  </si>
  <si>
    <t>B7(A)</t>
  </si>
  <si>
    <t>2009INVUNT0000034025</t>
  </si>
  <si>
    <t xml:space="preserve">AREA = 309.00000 ; USB DECK = 186.00000 ; </t>
  </si>
  <si>
    <t>(LRA)PCS-34434</t>
  </si>
  <si>
    <t xml:space="preserve">OFS | 05/04/2011 03:51PM | TINRA ; LOC | 11/17/2015 12:04AM | SYSTEM ; ULNCH | 11/17/2015 12:04AM | SYSTEM ; </t>
  </si>
  <si>
    <t xml:space="preserve">04/28/2012 ; 06/02/2011 ; </t>
  </si>
  <si>
    <t>T-611848-A</t>
  </si>
  <si>
    <t>D-506600</t>
  </si>
  <si>
    <t>WOODMORE SPRING B</t>
  </si>
  <si>
    <t>L18</t>
  </si>
  <si>
    <t>2009INVUNT0000034038</t>
  </si>
  <si>
    <t xml:space="preserve">AREA = 541.00000 ; </t>
  </si>
  <si>
    <t>PCS-04-017013</t>
  </si>
  <si>
    <t xml:space="preserve">OFS | 05/04/2011 03:53PM | TINRA ; LOC | 11/17/2015 12:04AM | SYSTEM ; ULNCH | 11/17/2015 12:04AM | SYSTEM ; </t>
  </si>
  <si>
    <t xml:space="preserve">ZERO ; M5 ; OFS ; ZERO ; M0 ; ZERO ; </t>
  </si>
  <si>
    <t xml:space="preserve">01/26/2011 ; 04/27/2011 ; 05/04/2011 ; 05/04/2011 ; 05/04/2011 ; 05/04/2011 ; </t>
  </si>
  <si>
    <t xml:space="preserve">06/01/2011 ; 05/03/2012 ; </t>
  </si>
  <si>
    <t>T-478591</t>
  </si>
  <si>
    <t>L25</t>
  </si>
  <si>
    <t>2009INVUNT0000034045</t>
  </si>
  <si>
    <t xml:space="preserve">AREA = 430.00000 ; </t>
  </si>
  <si>
    <t xml:space="preserve">OFS | 05/04/2011 03:54PM | TINRA ; LOC | 11/17/2015 12:04AM | SYSTEM ; ULNCH | 11/17/2015 12:04AM | SYSTEM ; </t>
  </si>
  <si>
    <t xml:space="preserve">05/03/2012 ; 06/01/2011 ; </t>
  </si>
  <si>
    <t>T-478598</t>
  </si>
  <si>
    <t>L26</t>
  </si>
  <si>
    <t>2009INVUNT0000034046</t>
  </si>
  <si>
    <t xml:space="preserve">AREA = 557.00000 ; </t>
  </si>
  <si>
    <t>12/28/2011 1:44:21 PM</t>
  </si>
  <si>
    <t xml:space="preserve">OFS | 04/25/2012 01:45PM | TINRA ; LOC | 11/17/2015 12:04AM | SYSTEM ; ULNCH | 11/17/2015 12:04AM | SYSTEM ; </t>
  </si>
  <si>
    <t xml:space="preserve">04/25/2012 ; 11/17/2015 ; 11/17/2015 ; </t>
  </si>
  <si>
    <t xml:space="preserve">FF1 ; FF0 ; SOLD ; ZERO ; SLE ; OFS ; M5 ; ZERO ; </t>
  </si>
  <si>
    <t xml:space="preserve">01/27/2012 ; 01/27/2012 ; 12/27/2011 ; 05/04/2010 ; 07/02/2010 ; 07/02/2010 ; 07/02/2010 ; 04/25/2012 ; </t>
  </si>
  <si>
    <t>T-478599</t>
  </si>
  <si>
    <t>B7(B)</t>
  </si>
  <si>
    <t>2009INVUNT0000034050</t>
  </si>
  <si>
    <t xml:space="preserve">AREA = 363.00000 ; USB DECK = 231.00000 ; </t>
  </si>
  <si>
    <t>PCS-04-021567</t>
  </si>
  <si>
    <t>2/21/2007 12:00:00 AM</t>
  </si>
  <si>
    <t xml:space="preserve">OFS | 05/04/2011 03:55PM | TINRA ; LOC | 11/17/2015 12:04AM | SYSTEM ; ULNCH | 11/17/2015 12:04AM | SYSTEM ; </t>
  </si>
  <si>
    <t xml:space="preserve">OFS ; EATS ; ZERO ; M0 ; ZERO ; </t>
  </si>
  <si>
    <t xml:space="preserve">06/02/2011 ; 05/05/2012 ; </t>
  </si>
  <si>
    <t>T-631296</t>
  </si>
  <si>
    <t>L16</t>
  </si>
  <si>
    <t>2009INVUNT0000034145</t>
  </si>
  <si>
    <t xml:space="preserve">AREA = 311.00000 ; USB DECK = 186.00000 ; </t>
  </si>
  <si>
    <t>8/11/2009 12:00:00 AM</t>
  </si>
  <si>
    <t xml:space="preserve">08/01/2005 ; </t>
  </si>
  <si>
    <t xml:space="preserve">OFS | 05/04/2011 03:56PM | TINRA ; LOC | 11/17/2015 12:04AM | SYSTEM ; ULNCH | 11/17/2015 12:04AM | SYSTEM ; </t>
  </si>
  <si>
    <t xml:space="preserve">05/05/2012 ; 06/02/2011 ; </t>
  </si>
  <si>
    <t>T-631299</t>
  </si>
  <si>
    <t>2009INVUNT0000034082</t>
  </si>
  <si>
    <t xml:space="preserve">AREA = 329.00000 ; USB DECK = 231.00000 ; </t>
  </si>
  <si>
    <t>17900SDU3BS 12012010</t>
  </si>
  <si>
    <t>DIANA 1 (SOUTHERN CALIFORNIAN MEDITERRANEAN)</t>
  </si>
  <si>
    <t>12/1/2010 12:00:00 AM</t>
  </si>
  <si>
    <t>1/1/2009 12:00:00 AM</t>
  </si>
  <si>
    <t xml:space="preserve">02/01/2005 ; 08/10/2007 ; 08/16/2007 ; 11/13/2015 ; </t>
  </si>
  <si>
    <t>8/16/2007 12:00:00 AM</t>
  </si>
  <si>
    <t xml:space="preserve">OFS | 04/25/2011 01:35PM | TINRA ; LOC | 11/17/2015 12:04AM | SYSTEM ; ULNCH | 11/17/2015 12:04AM | SYSTEM ; </t>
  </si>
  <si>
    <t xml:space="preserve">04/25/2011 ; 11/17/2015 ; 11/17/2015 ; </t>
  </si>
  <si>
    <t xml:space="preserve">M1 ; EATS ; ZERO ; </t>
  </si>
  <si>
    <t xml:space="preserve">04/25/2011 ; 04/25/2011 ; 04/25/2011 ; </t>
  </si>
  <si>
    <t xml:space="preserve">TDLAND ; WLTS ; WOPI ; TDBLDG ; BLDGP ; </t>
  </si>
  <si>
    <t xml:space="preserve">06/02/2011 ; 05/05/2012 ; 05/05/2012 ; 05/05/2012 ; 05/05/2012 ; </t>
  </si>
  <si>
    <t>T-631289</t>
  </si>
  <si>
    <t>2009INVUNT0000034141</t>
  </si>
  <si>
    <t xml:space="preserve">AREA = 328.00000 ; USB DECK = 231.00000 ; </t>
  </si>
  <si>
    <t>199-230.99SDU233COCO1 MADONNA</t>
  </si>
  <si>
    <t>9/25/2013 5:19:39 PM</t>
  </si>
  <si>
    <t xml:space="preserve">UO ; COFT ; OTCI ; POHC ; OSCM ; </t>
  </si>
  <si>
    <t xml:space="preserve">08/01/2005 ; 11/03/2008 ; 08/10/2007 ; 08/30/2007 ; 11/13/2015 ; </t>
  </si>
  <si>
    <t>8/30/2007 12:00:00 AM</t>
  </si>
  <si>
    <t xml:space="preserve">OFS | 11/28/2013 03:06PM | TINAAG ; LOC | 11/17/2015 12:04AM | SYSTEM ; ULNCH | 11/17/2015 12:04AM | SYSTEM ; </t>
  </si>
  <si>
    <t xml:space="preserve">11/17/2015 ; 11/17/2015 ; 11/28/2013 ; </t>
  </si>
  <si>
    <t xml:space="preserve">FF1 ; FF0 ; ZERO ; M1 ; ZERO ; SOLD ; SLE ; OFS ; </t>
  </si>
  <si>
    <t xml:space="preserve">10/25/2013 ; 10/25/2013 ; 11/28/2013 ; 04/25/2011 ; 04/25/2011 ; 09/24/2013 ; 11/15/2012 ; 11/15/2012 ; </t>
  </si>
  <si>
    <t xml:space="preserve">BLDGP ; WOPI ; TDBLDG ; TDLAND ; WLTS ; </t>
  </si>
  <si>
    <t xml:space="preserve">05/05/2012 ; 05/05/2012 ; 05/05/2012 ; 06/02/2011 ; 04/28/2012 ; </t>
  </si>
  <si>
    <t>T-611851-A</t>
  </si>
  <si>
    <t>L12</t>
  </si>
  <si>
    <t>2009INVUNT0000034049</t>
  </si>
  <si>
    <t xml:space="preserve">AREA = 408.00000 ; USB DECK = 186.00000 ; </t>
  </si>
  <si>
    <t>8/3/2010 5:58:08 PM</t>
  </si>
  <si>
    <t xml:space="preserve">UO ; COFT ; TNVR ; POHC ; OSCM ; </t>
  </si>
  <si>
    <t xml:space="preserve">06/28/2017 ; 07/28/2008 ; 11/03/2008 ; 11/08/2007 ; 11/13/2015 ; </t>
  </si>
  <si>
    <t>11/8/2007 12:00:00 AM</t>
  </si>
  <si>
    <t xml:space="preserve">RFO ; REAP ; M0 ; OFS ; LOC ; RBB ; </t>
  </si>
  <si>
    <t xml:space="preserve">OFS | 05/06/2011 09:36AM | TINRA ; M0 | 01/23/2017 11:20AM | MARTINEM ; REAP | 07/05/2011 03:01PM | MR.007 - J1102561 ; RBB | 04/15/2011 05:40PM | GABBYCA J1003701 ; LOC | 11/17/2015 12:04AM | SYSTEM ; RFO | 05/06/2016 06:40PM | TOPHERMV ; </t>
  </si>
  <si>
    <t xml:space="preserve">05/06/2016 ; 07/05/2011 ; 01/23/2017 ; 05/06/2011 ; 11/17/2015 ; 11/23/2010 ; </t>
  </si>
  <si>
    <t xml:space="preserve">ZERO ; ULNCH ; JOUR ; ZERO ; IC2 ; RCF ; JOUR ; OFS ; M0 ; IC0 ; ZERO ; JOUR ; SOLD ; IC1 ; </t>
  </si>
  <si>
    <t xml:space="preserve">08/28/2009 ; 05/06/2016 ; 07/05/2011 ; 04/27/2011 ; 09/02/2010 ; 11/23/2010 ; 04/22/2010 ; 05/06/2011 ; 05/06/2011 ; 05/06/2011 ; 05/06/2011 ; 06/22/2010 ; 08/02/2010 ; 08/02/2010 ; </t>
  </si>
  <si>
    <t xml:space="preserve">BLDGP ; WOPI ; TDLAND ; TDBLDG ; WLTS ; </t>
  </si>
  <si>
    <t xml:space="preserve">05/05/2012 ; 05/05/2012 ; 06/02/2011 ; 05/05/2012 ; 05/05/2012 ; </t>
  </si>
  <si>
    <t>T-631295</t>
  </si>
  <si>
    <t>D-5067A0</t>
  </si>
  <si>
    <t>THE ARBORAGE A</t>
  </si>
  <si>
    <t>2009INVUNT0000034196</t>
  </si>
  <si>
    <t xml:space="preserve">AREA = 250.00000 ; </t>
  </si>
  <si>
    <t>Pcs-04-023572</t>
  </si>
  <si>
    <t xml:space="preserve">03/27/2007 ; </t>
  </si>
  <si>
    <t xml:space="preserve">OFS | 05/04/2011 02:22PM | TINRA ; LOC | 11/17/2015 12:04AM | SYSTEM ; ULNCH | 11/17/2015 12:04AM | SYSTEM ; </t>
  </si>
  <si>
    <t xml:space="preserve">04/17/2012 ; 12/12/2008 ; </t>
  </si>
  <si>
    <t>T-721775</t>
  </si>
  <si>
    <t>2009INVUNT0000034201</t>
  </si>
  <si>
    <t xml:space="preserve">OFS | 05/04/2011 02:26PM | TINRA ; LOC | 11/17/2015 12:04AM | SYSTEM ; ULNCH | 11/17/2015 12:04AM | SYSTEM ; </t>
  </si>
  <si>
    <t xml:space="preserve">M0 ; ZERO ; OFS ; EATS ; ZERO ; </t>
  </si>
  <si>
    <t xml:space="preserve">12/12/2008 ; 04/17/2012 ; </t>
  </si>
  <si>
    <t>T-721780</t>
  </si>
  <si>
    <t>2009INVUNT0000034187</t>
  </si>
  <si>
    <t xml:space="preserve">AREA = 225.00000 ; </t>
  </si>
  <si>
    <t xml:space="preserve">OFS | 05/04/2011 02:29PM | TINRA ; LOC | 11/17/2015 12:04AM | SYSTEM ; ULNCH | 11/17/2015 12:04AM | SYSTEM ; </t>
  </si>
  <si>
    <t>T-721766</t>
  </si>
  <si>
    <t>L7</t>
  </si>
  <si>
    <t xml:space="preserve">AREA = 240.00000 ; </t>
  </si>
  <si>
    <t>11/17/2015 12:04:54 AM</t>
  </si>
  <si>
    <t>2009INVUNT0000034252</t>
  </si>
  <si>
    <t xml:space="preserve">OFS | 05/13/2017 12:10AM | SYSTEM ; LOC | 11/17/2015 12:04AM | SYSTEM ; ULNCH | 11/17/2015 12:04AM | SYSTEM ; </t>
  </si>
  <si>
    <t xml:space="preserve">05/13/2017 ; 11/17/2015 ; 11/17/2015 ; </t>
  </si>
  <si>
    <t xml:space="preserve">M5 ; ZERO ; OFS ; M5 ; ZERO ; OFS ; EATS ; ZERO ; M0 ; ZERO ; ZERO ; M5 ; OFS ; M0 ; OFS ; </t>
  </si>
  <si>
    <t xml:space="preserve">04/06/2017 ; 04/07/2017 ; 04/07/2017 ; 10/29/2016 ; 10/29/2016 ; 05/04/2011 ; 05/04/2011 ; 05/04/2011 ; 05/04/2011 ; 05/04/2011 ; 05/13/2017 ; 05/12/2017 ; 02/28/2017 ; 02/28/2017 ; 09/21/2016 ; </t>
  </si>
  <si>
    <t>T-721833</t>
  </si>
  <si>
    <t>2009INVUNT0000034253</t>
  </si>
  <si>
    <t xml:space="preserve">AREA = 168.00000 ; </t>
  </si>
  <si>
    <t>2/14/2018 4:26:55 PM</t>
  </si>
  <si>
    <t xml:space="preserve">FF1 ; LOC ; ULNCH ; </t>
  </si>
  <si>
    <t xml:space="preserve">FF1 | 02/13/2018 04:26PM | JASE ; LOC | 11/17/2015 12:04AM | SYSTEM ; ULNCH | 11/17/2015 12:04AM | SYSTEM ; </t>
  </si>
  <si>
    <t xml:space="preserve">02/13/2018 ; 11/17/2015 ; 11/17/2015 ; </t>
  </si>
  <si>
    <t xml:space="preserve">SLE ; OFS ; M0 ; FF0 ; ZERO ; OFS ; REV ; SOLD ; OFS ; EATS ; ZERO ; M0 ; ZERO ; SOLD ; </t>
  </si>
  <si>
    <t xml:space="preserve">10/25/2016 ; 10/25/2016 ; 12/04/2016 ; 12/04/2016 ; 12/04/2016 ; 12/05/2016 ; 12/09/2016 ; 02/13/2018 ; 05/04/2011 ; 05/04/2011 ; 05/04/2011 ; 05/04/2011 ; 05/04/2011 ; 12/03/2016 ; </t>
  </si>
  <si>
    <t>T-721834</t>
  </si>
  <si>
    <t>L15</t>
  </si>
  <si>
    <t>2009INVUNT0000034255</t>
  </si>
  <si>
    <t>2/14/2018 3:49:16 PM</t>
  </si>
  <si>
    <t xml:space="preserve">FF1 | 02/13/2018 03:49PM | IZZADF ; LOC | 11/17/2015 12:04AM | SYSTEM ; ULNCH | 11/17/2015 12:04AM | SYSTEM ; </t>
  </si>
  <si>
    <t xml:space="preserve">OFS ; SLE ; M0 ; FF0 ; ZERO ; OFS ; SOLD ; OFS ; EATS ; ZERO ; M0 ; ZERO ; SOLD ; REV ; </t>
  </si>
  <si>
    <t xml:space="preserve">10/25/2016 ; 10/25/2016 ; 12/04/2016 ; 12/04/2016 ; 12/04/2016 ; 12/15/2016 ; 02/13/2018 ; 05/04/2011 ; 05/04/2011 ; 05/04/2011 ; 05/04/2011 ; 05/04/2011 ; 12/03/2016 ; 12/22/2016 ; </t>
  </si>
  <si>
    <t>T-721836</t>
  </si>
  <si>
    <t>L17</t>
  </si>
  <si>
    <t>2009INVUNT0000034257</t>
  </si>
  <si>
    <t>2/14/2018 6:21:17 PM</t>
  </si>
  <si>
    <t xml:space="preserve">FF1 ; M0 ; LOC ; ULNCH ; </t>
  </si>
  <si>
    <t xml:space="preserve">M0 | 09/20/2016 02:26PM | MARTINEM ; FF1 | 02/13/2018 06:21PM | RAQSCV ; LOC | 11/17/2015 12:04AM | SYSTEM ; ULNCH | 11/17/2015 12:04AM | SYSTEM ; </t>
  </si>
  <si>
    <t xml:space="preserve">02/13/2018 ; 09/20/2016 ; 11/17/2015 ; 11/17/2015 ; </t>
  </si>
  <si>
    <t xml:space="preserve">OFS ; EATS ; ZERO ; M0 ; ZERO ; OFS ; SLE ; SOLD ; </t>
  </si>
  <si>
    <t xml:space="preserve">05/04/2011 ; 05/04/2011 ; 05/04/2011 ; 05/04/2011 ; 05/04/2011 ; 10/25/2016 ; 10/25/2016 ; 02/13/2018 ; </t>
  </si>
  <si>
    <t>T-721838</t>
  </si>
  <si>
    <t>2009INVUNT0000034263</t>
  </si>
  <si>
    <t xml:space="preserve">AREA = 238.00000 ; </t>
  </si>
  <si>
    <t xml:space="preserve">OFS | 05/04/2011 03:17PM | TINRA ; LOC | 11/17/2015 12:04AM | SYSTEM ; ULNCH | 11/17/2015 12:04AM | SYSTEM ; </t>
  </si>
  <si>
    <t xml:space="preserve">04/17/2012 ; 12/04/2008 ; </t>
  </si>
  <si>
    <t>T-721844</t>
  </si>
  <si>
    <t>2009INVUNT0000034265</t>
  </si>
  <si>
    <t xml:space="preserve">AREA = 228.00000 ; </t>
  </si>
  <si>
    <t xml:space="preserve">OFS | 05/04/2011 03:18PM | TINRA ; LOC | 11/17/2015 12:04AM | SYSTEM ; ULNCH | 11/17/2015 12:04AM | SYSTEM ; </t>
  </si>
  <si>
    <t>T-721846</t>
  </si>
  <si>
    <t>B6</t>
  </si>
  <si>
    <t>2009INVUNT0000034286</t>
  </si>
  <si>
    <t xml:space="preserve">AREA = 223.00000 ; </t>
  </si>
  <si>
    <t>1/21/2017 10:06:01 AM</t>
  </si>
  <si>
    <t xml:space="preserve">OFS | 02/21/2017 12:08AM | SYSTEM ; LOC | 03/16/2016 12:05AM | SYSTEM ; ULNCH | 11/17/2015 12:27AM | SYSTEM ; </t>
  </si>
  <si>
    <t xml:space="preserve">02/21/2017 ; 03/16/2016 ; 11/17/2015 ; </t>
  </si>
  <si>
    <t xml:space="preserve">ZERO ; OFS ; OFS ; FF1 ; FF0 ; REV ; ZERO ; OFS ; EATS ; ZERO ; M0 ; ZERO ; SOLD ; ITIA ; SOLD ; SLE ; ZERO ; OFS ; REV ; FF1 ; FF0 ; </t>
  </si>
  <si>
    <t xml:space="preserve">02/21/2017 ; 11/24/2016 ; 06/07/2016 ; 02/21/2017 ; 02/21/2017 ; 11/23/2016 ; 11/24/2016 ; 05/04/2011 ; 05/04/2011 ; 05/04/2011 ; 05/04/2011 ; 05/04/2011 ; 03/15/2016 ; 03/15/2016 ; 01/20/2017 ; 02/21/2014 ; 06/03/2016 ; 02/21/2014 ; 11/29/2016 ; 04/16/2016 ; 04/16/2016 ; </t>
  </si>
  <si>
    <t>3/16/2016 12:05:02 AM</t>
  </si>
  <si>
    <t>T-721869</t>
  </si>
  <si>
    <t>2009INVUNT0000034289</t>
  </si>
  <si>
    <t>6/3/2017 11:22:15 AM</t>
  </si>
  <si>
    <t xml:space="preserve">LOC ; OFS ; ULNCH ; </t>
  </si>
  <si>
    <t xml:space="preserve">OFS | 07/04/2017 12:09AM | SYSTEM ; LOC | 05/06/2016 07:20PM | NESTORSG SR-IT-2016- ; ULNCH | 11/17/2015 12:27AM | SYSTEM ; </t>
  </si>
  <si>
    <t xml:space="preserve">05/06/2016 ; 07/04/2017 ; 11/17/2015 ; </t>
  </si>
  <si>
    <t xml:space="preserve">SOLD ; OFS ; EATS ; ZERO ; M0 ; ZERO ; FF1 ; FF0 ; ZERO ; SLE ; OFS ; </t>
  </si>
  <si>
    <t xml:space="preserve">06/02/2017 ; 05/04/2011 ; 05/04/2011 ; 05/04/2011 ; 05/04/2011 ; 05/04/2011 ; 07/04/2017 ; 07/04/2017 ; 07/04/2017 ; 01/06/2012 ; 01/06/2012 ; </t>
  </si>
  <si>
    <t>5/6/2016 12:00:00 AM</t>
  </si>
  <si>
    <t>T-721872</t>
  </si>
  <si>
    <t>NAPL</t>
  </si>
  <si>
    <t>Not Applicable</t>
  </si>
  <si>
    <t>10/15/2013 12:00:00 AM</t>
  </si>
  <si>
    <t>L10</t>
  </si>
  <si>
    <t>12X14 13290 SD 2S 3BR 35T 2C 1M1T sm E1</t>
  </si>
  <si>
    <t>Vivaldi - Spanish Mediterranean</t>
  </si>
  <si>
    <t>L8</t>
  </si>
  <si>
    <t xml:space="preserve">UO ; COFT ; OTCI ; QOTC ; POHC ; OSCM ; </t>
  </si>
  <si>
    <t>2009INVUNT0000034275</t>
  </si>
  <si>
    <t xml:space="preserve">AREA = 271.00000 ; </t>
  </si>
  <si>
    <t>8/1/2017 4:02:10 PM</t>
  </si>
  <si>
    <t xml:space="preserve">03/27/2007 ; 12/15/2014 ; 11/21/2013 ; 11/21/2013 ; 12/15/2014 ; 11/13/2015 ; </t>
  </si>
  <si>
    <t>12/15/2014 12:00:00 AM</t>
  </si>
  <si>
    <t xml:space="preserve">OFS | 09/01/2017 12:10AM | SYSTEM ; LOC | 11/17/2015 12:04AM | SYSTEM ; ULNCH | 11/17/2015 12:04AM | SYSTEM ; </t>
  </si>
  <si>
    <t xml:space="preserve">09/01/2017 ; 11/17/2015 ; 11/17/2015 ; </t>
  </si>
  <si>
    <t xml:space="preserve">SOLD ; OFS ; SLE ; BH ; OFS ; EATS ; ZERO ; M0 ; ZERO ; ZERO ; FF1 ; FF0 ; </t>
  </si>
  <si>
    <t xml:space="preserve">07/31/2017 ; 05/02/2017 ; 05/02/2017 ; 04/14/2017 ; 05/04/2011 ; 05/04/2011 ; 05/04/2011 ; 05/04/2011 ; 05/04/2011 ; 09/01/2017 ; 09/01/2017 ; 09/01/2017 ; </t>
  </si>
  <si>
    <t xml:space="preserve">BLDGP ; WOPI ; TDLAND ; WLTS ; </t>
  </si>
  <si>
    <t xml:space="preserve">07/31/2014 ; 11/16/2015 ; 04/17/2012 ; 12/12/2008 ; </t>
  </si>
  <si>
    <t>T-721856</t>
  </si>
  <si>
    <t>L19</t>
  </si>
  <si>
    <t>2009INVUNT0000034278</t>
  </si>
  <si>
    <t xml:space="preserve">AREA = 232.00000 ; </t>
  </si>
  <si>
    <t>2/4/2016 4:59:04 PM</t>
  </si>
  <si>
    <t xml:space="preserve">03/27/2007 ; 10/22/2016 ; 07/01/2015 ; 10/22/2016 ; 11/13/2015 ; </t>
  </si>
  <si>
    <t>10/22/2016 12:00:00 AM</t>
  </si>
  <si>
    <t xml:space="preserve">M0 ; OFS ; LOC ; ULNCH ; </t>
  </si>
  <si>
    <t xml:space="preserve">OFS | 10/07/2016 12:10AM | SYSTEM ; M0 | 08/30/2017 05:14PM | LINDOLCB ; LOC | 11/17/2015 12:04AM | SYSTEM ; ULNCH | 11/17/2015 12:04AM | SYSTEM ; </t>
  </si>
  <si>
    <t xml:space="preserve">08/30/2017 ; 10/07/2016 ; 11/17/2015 ; 11/17/2015 ; </t>
  </si>
  <si>
    <t xml:space="preserve">BH ; OFS ; EATS ; ZERO ; M0 ; ZERO ; BH ; BH ; OFS ; SLE ; FF0 ; SOLD ; ZERO ; </t>
  </si>
  <si>
    <t xml:space="preserve">10/07/2017 ; 05/04/2011 ; 05/04/2011 ; 05/04/2011 ; 05/04/2011 ; 05/04/2011 ; 11/11/2016 ; 09/10/2017 ; 12/03/2015 ; 12/03/2015 ; 02/04/2016 ; 02/03/2016 ; 10/07/2016 ; </t>
  </si>
  <si>
    <t xml:space="preserve">WLTS ; BLDGP ; TDLAND ; </t>
  </si>
  <si>
    <t xml:space="preserve">12/12/2008 ; 12/09/2015 ; 04/17/2012 ; </t>
  </si>
  <si>
    <t>T-721859</t>
  </si>
  <si>
    <t>2009INVUNT0000034264</t>
  </si>
  <si>
    <t xml:space="preserve">AREA = 233.00000 ; </t>
  </si>
  <si>
    <t>5/22/2013 8:49:51 AM</t>
  </si>
  <si>
    <t xml:space="preserve">OFS ; M0 ; LOC ; ULNCH ; </t>
  </si>
  <si>
    <t xml:space="preserve">OFS | 07/16/2013 03:10PM | TINAAG ; M0 | 08/30/2017 05:15PM | LINDOLCB ; LOC | 11/17/2015 12:04AM | SYSTEM ; ULNCH | 11/17/2015 12:04AM | SYSTEM ; </t>
  </si>
  <si>
    <t xml:space="preserve">07/16/2013 ; 08/30/2017 ; 11/17/2015 ; 11/17/2015 ; </t>
  </si>
  <si>
    <t xml:space="preserve">ZERO ; FF1 ; FF0 ; OFS ; EATS ; ZERO ; M0 ; ZERO ; SLE ; OFS ; SOLD ; </t>
  </si>
  <si>
    <t xml:space="preserve">07/16/2013 ; 06/21/2013 ; 06/21/2013 ; 05/04/2011 ; 05/04/2011 ; 05/04/2011 ; 05/04/2011 ; 05/04/2011 ; 07/06/2012 ; 07/06/2012 ; 05/21/2013 ; </t>
  </si>
  <si>
    <t xml:space="preserve">BLDGP ; TDLAND ; WLTS ; </t>
  </si>
  <si>
    <t xml:space="preserve">12/09/2015 ; 04/17/2012 ; 12/12/2008 ; </t>
  </si>
  <si>
    <t>T-721845</t>
  </si>
  <si>
    <t>D-506200</t>
  </si>
  <si>
    <t>WEST PARC A</t>
  </si>
  <si>
    <t>B10</t>
  </si>
  <si>
    <t>2009INVUNT0000033924</t>
  </si>
  <si>
    <t xml:space="preserve">AREA = 429.00000 ; </t>
  </si>
  <si>
    <t xml:space="preserve">OFS | 05/04/2011 03:32PM | TINRA ; LOC | 11/17/2015 12:04AM | SYSTEM ; ULNCH | 11/17/2015 12:04AM | SYSTEM ; </t>
  </si>
  <si>
    <t>T-461990</t>
  </si>
  <si>
    <t>2009INVUNT0000033925</t>
  </si>
  <si>
    <t xml:space="preserve">AREA = 573.00000 ; </t>
  </si>
  <si>
    <t>6/21/2007 12:00:00 AM</t>
  </si>
  <si>
    <t xml:space="preserve">OFS | 05/04/2011 03:33PM | TINRA ; LOC | 11/17/2015 12:04AM | SYSTEM ; ULNCH | 11/17/2015 12:04AM | SYSTEM ; </t>
  </si>
  <si>
    <t xml:space="preserve">06/02/2011 ; 04/28/2012 ; </t>
  </si>
  <si>
    <t>T-461991</t>
  </si>
  <si>
    <t>2009INVUNT0000033926</t>
  </si>
  <si>
    <t xml:space="preserve">AREA = 499.00000 ; </t>
  </si>
  <si>
    <t>T-461992</t>
  </si>
  <si>
    <t>2009INVUNT0000033916</t>
  </si>
  <si>
    <t xml:space="preserve">AREA = 456.00000 ; </t>
  </si>
  <si>
    <t xml:space="preserve">OFS | 05/04/2011 03:34PM | TINRA ; LOC | 11/17/2015 12:04AM | SYSTEM ; ULNCH | 11/17/2015 12:04AM | SYSTEM ; </t>
  </si>
  <si>
    <t>T-461982</t>
  </si>
  <si>
    <t>2009INVUNT0000033922</t>
  </si>
  <si>
    <t xml:space="preserve">OFS | 05/04/2011 03:35PM | TINRA ; LOC | 11/17/2015 12:04AM | SYSTEM ; ULNCH | 11/17/2015 12:04AM | SYSTEM ; </t>
  </si>
  <si>
    <t>T-461988</t>
  </si>
  <si>
    <t>2009INVUNT0000033923</t>
  </si>
  <si>
    <t xml:space="preserve">AREA = 407.00000 ; </t>
  </si>
  <si>
    <t>T-461989</t>
  </si>
  <si>
    <t>B11</t>
  </si>
  <si>
    <t>2009INVUNT0000033930</t>
  </si>
  <si>
    <t xml:space="preserve">AREA = 427.00000 ; </t>
  </si>
  <si>
    <t xml:space="preserve">OFS | 05/04/2011 03:43PM | TINRA ; LOC | 11/17/2015 12:04AM | SYSTEM ; ULNCH | 11/17/2015 12:04AM | SYSTEM ; </t>
  </si>
  <si>
    <t>T-461996</t>
  </si>
  <si>
    <t>2009INVUNT0000033931</t>
  </si>
  <si>
    <t xml:space="preserve">AREA = 485.00000 ; </t>
  </si>
  <si>
    <t xml:space="preserve">OFS | 05/04/2011 03:44PM | TINRA ; LOC | 11/17/2015 12:04AM | SYSTEM ; ULNCH | 11/17/2015 12:04AM | SYSTEM ; </t>
  </si>
  <si>
    <t>T-461997</t>
  </si>
  <si>
    <t>2009INVUNT0000033932</t>
  </si>
  <si>
    <t xml:space="preserve">AREA = 750.00000 ; </t>
  </si>
  <si>
    <t>T-461998</t>
  </si>
  <si>
    <t>2009INVUNT0000033933</t>
  </si>
  <si>
    <t xml:space="preserve">AREA = 640.00000 ; </t>
  </si>
  <si>
    <t>T-461999</t>
  </si>
  <si>
    <t>B13</t>
  </si>
  <si>
    <t>2009INVUNT0000033947</t>
  </si>
  <si>
    <t xml:space="preserve">AREA = 491.00000 ; </t>
  </si>
  <si>
    <t xml:space="preserve">OFS | 07/13/2011 03:53PM | TINRA ; LOC | 11/17/2015 12:04AM | SYSTEM ; ULNCH | 11/17/2015 12:04AM | SYSTEM ; </t>
  </si>
  <si>
    <t xml:space="preserve">07/13/2011 ; 11/17/2015 ; 11/17/2015 ; </t>
  </si>
  <si>
    <t xml:space="preserve">M0 ; M0 ; M0 ; M0 ; M0 ; DC1 ; OFS ; M0 ; M0 ; M0 ; TH0 ; M0 ; TH0 ; M0 ; ZERO ; </t>
  </si>
  <si>
    <t xml:space="preserve">05/04/2011 ; 05/04/2011 ; 05/04/2011 ; 05/04/2011 ; 05/04/2011 ; 05/19/2011 ; 05/04/2011 ; 05/04/2011 ; 05/04/2011 ; 05/04/2011 ; 05/04/2011 ; 05/04/2011 ; 05/04/2011 ; 05/04/2011 ; 07/13/2011 ; </t>
  </si>
  <si>
    <t>T-462015</t>
  </si>
  <si>
    <t>2009INVUNT0000033949</t>
  </si>
  <si>
    <t xml:space="preserve">AREA = 473.00000 ; </t>
  </si>
  <si>
    <t xml:space="preserve">OFS | 05/04/2011 03:49PM | TINRA ; LOC | 11/17/2015 12:04AM | SYSTEM ; ULNCH | 11/17/2015 12:04AM | SYSTEM ; </t>
  </si>
  <si>
    <t>T-462017</t>
  </si>
  <si>
    <t>D-506300</t>
  </si>
  <si>
    <t>WEST PARC B</t>
  </si>
  <si>
    <t>2009INVUNT0000033969</t>
  </si>
  <si>
    <t xml:space="preserve">AREA = 534.00000 ; </t>
  </si>
  <si>
    <t>3/23/2005 12:00:00 AM</t>
  </si>
  <si>
    <t xml:space="preserve">OFS | 05/09/2011 11:47AM | TINRA ; LOC | 11/17/2015 12:04AM | SYSTEM ; ULNCH | 11/17/2015 12:04AM | SYSTEM ; </t>
  </si>
  <si>
    <t xml:space="preserve">05/09/2011 ; 11/17/2015 ; 11/17/2015 ; </t>
  </si>
  <si>
    <t xml:space="preserve">OFS ; ZERO ; M0 ; FF0 ; ZERO ; </t>
  </si>
  <si>
    <t xml:space="preserve">04/26/2011 ; 04/26/2011 ; 05/09/2011 ; 05/09/2011 ; 05/09/2011 ; </t>
  </si>
  <si>
    <t>T-478654</t>
  </si>
  <si>
    <t>2009INVUNT0000033970</t>
  </si>
  <si>
    <t xml:space="preserve">AREA = 384.00000 ; </t>
  </si>
  <si>
    <t>2/12/2012 12:44:05 AM</t>
  </si>
  <si>
    <t xml:space="preserve">OFS | 02/16/2012 12:08AM | SYSTEM ; LOC | 11/17/2015 12:04AM | SYSTEM ; ULNCH | 11/17/2015 12:04AM | SYSTEM ; </t>
  </si>
  <si>
    <t xml:space="preserve">02/16/2012 ; 11/17/2015 ; 11/17/2015 ; </t>
  </si>
  <si>
    <t xml:space="preserve">FF0 ; SLE ; OFS ; SOLD ; SLE ; OFS ; REV ; ZERO ; FF0 ; OFS ; ZERO ; M0 ; ZERO ; ZERO ; SOLD ; </t>
  </si>
  <si>
    <t xml:space="preserve">02/12/2012 ; 10/06/2011 ; 10/06/2011 ; 11/11/2011 ; 02/04/2012 ; 02/04/2012 ; 02/04/2012 ; 02/16/2012 ; 11/12/2011 ; 05/04/2011 ; 05/04/2011 ; 05/04/2011 ; 05/04/2011 ; 01/02/2012 ; 02/11/2012 ; </t>
  </si>
  <si>
    <t>T-478655</t>
  </si>
  <si>
    <t>2009INVUNT0000033963</t>
  </si>
  <si>
    <t xml:space="preserve">AREA = 656.00000 ; </t>
  </si>
  <si>
    <t xml:space="preserve">OFS | 05/04/2011 03:50PM | TINRA ; LOC | 11/17/2015 12:04AM | SYSTEM ; ULNCH | 11/17/2015 12:04AM | SYSTEM ; </t>
  </si>
  <si>
    <t>T-478648</t>
  </si>
  <si>
    <t>2009INVUNT0000033964</t>
  </si>
  <si>
    <t xml:space="preserve">AREA = 555.00000 ; </t>
  </si>
  <si>
    <t>T-478649</t>
  </si>
  <si>
    <t>Cluster I</t>
  </si>
  <si>
    <t>Blk. 2</t>
  </si>
  <si>
    <t>Unit no. 16, Inner Unit, Plan 1, Bldg. 2</t>
  </si>
  <si>
    <t>RFO</t>
  </si>
  <si>
    <t>Plan 3A</t>
  </si>
  <si>
    <t>Plan 1</t>
  </si>
  <si>
    <t>Plan 3</t>
  </si>
  <si>
    <t>Blk. 3</t>
  </si>
  <si>
    <t>Unit no. 11, Inner Unit, Plan 1, Bldg. 2</t>
  </si>
  <si>
    <t>Unit no. 18, End Unit, Plan 3A, Bldg. 2</t>
  </si>
  <si>
    <t>Cluster II</t>
  </si>
  <si>
    <t>Blk. 1</t>
  </si>
  <si>
    <t>Unit no. 3, Inner Unit, Plan 1, Bldg. 2</t>
  </si>
  <si>
    <t>MODEL UNIT</t>
  </si>
  <si>
    <t>Unit no. 19, End Unit, Plan 3A, Bldg. 2</t>
  </si>
  <si>
    <t>Unit no. 21, Inner Unit, Plan 1, Bldg. 2</t>
  </si>
  <si>
    <t>Unit no. 23, End Unit, Plan 3, Bldg. 2</t>
  </si>
  <si>
    <t>Blk. 1B</t>
  </si>
  <si>
    <t>Unit no. 16, End Unit, Plan 7, Duplex 2</t>
  </si>
  <si>
    <t>Unit no. 18, End Unit, Plan 5, Duplex 1</t>
  </si>
  <si>
    <t>Unit no. 19, End Unit, Plan 4, Duplex 1</t>
  </si>
  <si>
    <t>Plan 7</t>
  </si>
  <si>
    <t>Blk. 3A</t>
  </si>
  <si>
    <t>Plan 4</t>
  </si>
  <si>
    <t>Plan 5</t>
  </si>
  <si>
    <t>Unit no. 27, End Unit, Plan 5, Duplex 1</t>
  </si>
  <si>
    <t>Improvement Cost</t>
  </si>
  <si>
    <t>Lot Area</t>
  </si>
  <si>
    <t>Computation For:</t>
  </si>
  <si>
    <t>Unit/Lot ID:</t>
  </si>
  <si>
    <t>Lot Area:</t>
  </si>
  <si>
    <t>Computation generated on:</t>
  </si>
  <si>
    <t>Php</t>
  </si>
  <si>
    <t>Total Contract Price:</t>
  </si>
  <si>
    <t>Less Reservation:</t>
  </si>
  <si>
    <t>Net Amount</t>
  </si>
  <si>
    <t>Total List Price</t>
  </si>
  <si>
    <t>Net List Price:</t>
  </si>
  <si>
    <t>Due 30 days after reservation</t>
  </si>
  <si>
    <t>MRI H&amp;L and Condo</t>
  </si>
  <si>
    <t>Discount on Improvement Cost:</t>
  </si>
  <si>
    <t xml:space="preserve">prevailing at the time of registration of the Deed of Absolute Sale.  </t>
  </si>
  <si>
    <t>turnover fees, RPT &amp; insurance.</t>
  </si>
  <si>
    <t>Cash Discount</t>
  </si>
  <si>
    <t>30/70 Discount</t>
  </si>
  <si>
    <t>Add VAT:</t>
  </si>
  <si>
    <t>Add Other Charges:</t>
  </si>
  <si>
    <t>*with MRI premium</t>
  </si>
  <si>
    <t>Sales Associate/Broker:</t>
  </si>
  <si>
    <t>Net Amount:</t>
  </si>
  <si>
    <t>100% Full Payment:</t>
  </si>
  <si>
    <t>Name of Client:</t>
  </si>
  <si>
    <t>Issue checks to Filinvest Land, Inc.</t>
  </si>
  <si>
    <t>Date</t>
  </si>
  <si>
    <t>Payment</t>
  </si>
  <si>
    <t xml:space="preserve">*Other Charges are subject to change based on the government mandated rates &amp; BIR ruling(s) prevailing at the time of registration of the Deed of Absolute Sale.  </t>
  </si>
  <si>
    <t>These do not include expenses related to the application for various utilities (e.g. meter deposits), turnover fees, RPT &amp; insurance.</t>
  </si>
  <si>
    <t xml:space="preserve">The client is required to submit complete post dated checks. </t>
  </si>
  <si>
    <t>CONFORME:</t>
  </si>
  <si>
    <t>MARITAL CONSENT:</t>
  </si>
  <si>
    <t>SELLER:</t>
  </si>
  <si>
    <t>All plans, information and illustrations are for identification and reference only. All details are subject to change without prior notice and do not form part of an offer or contract.</t>
  </si>
  <si>
    <t>reservation deposit</t>
  </si>
  <si>
    <t>MRI Premium</t>
  </si>
  <si>
    <t>Unit/Lot Payment</t>
  </si>
  <si>
    <t>MRI</t>
  </si>
  <si>
    <t>TOTAL Payment</t>
  </si>
  <si>
    <t>*Full payment and complete documentation required for turnover</t>
  </si>
  <si>
    <t>Prominence II</t>
  </si>
  <si>
    <t>Unit ID</t>
  </si>
  <si>
    <t>House/Unit Area</t>
  </si>
  <si>
    <t xml:space="preserve">Total List Price </t>
  </si>
  <si>
    <t>Total Contract Price</t>
  </si>
  <si>
    <t>Woodmore Spring</t>
  </si>
  <si>
    <t>West Parc</t>
  </si>
  <si>
    <t>Meridien</t>
  </si>
  <si>
    <t>Brentville Price List</t>
  </si>
  <si>
    <t>%</t>
  </si>
  <si>
    <t>Lumpsum</t>
  </si>
  <si>
    <t>Period</t>
  </si>
  <si>
    <t>Amount</t>
  </si>
  <si>
    <t>Month</t>
  </si>
  <si>
    <t>Reservation</t>
  </si>
  <si>
    <t>Deferred</t>
  </si>
  <si>
    <t>Retention</t>
  </si>
  <si>
    <t>Total</t>
  </si>
  <si>
    <t>TOTAL</t>
  </si>
  <si>
    <t>DP/Lumpsum</t>
  </si>
  <si>
    <t>vs Standard: Cash 30</t>
  </si>
  <si>
    <t>Prepared by:</t>
  </si>
  <si>
    <t>30% within 30 days of Reservation; 70% over 30 months with 1% TLP Discount</t>
  </si>
  <si>
    <t>100% within 30 days of Reservation with 9% TLP Discount</t>
  </si>
  <si>
    <t>Notes:</t>
  </si>
  <si>
    <t>OLD</t>
  </si>
  <si>
    <t>Price PSM OLD</t>
  </si>
  <si>
    <t>Price PSM NEW</t>
  </si>
  <si>
    <t>Variance (New vs OLD)</t>
  </si>
  <si>
    <t>Sunshine Place</t>
  </si>
  <si>
    <t>BRENTVILLE INTERNATIONAL COMMUNITY</t>
  </si>
  <si>
    <t>SALES STATUS</t>
  </si>
  <si>
    <t>AVAILABLE</t>
  </si>
  <si>
    <t>SOLD</t>
  </si>
  <si>
    <t>List Price</t>
  </si>
  <si>
    <t>MRI Factor Rate</t>
  </si>
  <si>
    <t>House/Unit Area*</t>
  </si>
  <si>
    <t>Improvement Cost*</t>
  </si>
  <si>
    <t>*Applicable to house and lot / condo projects only</t>
  </si>
  <si>
    <t xml:space="preserve">PLEASE FILL-OUT CELLS IN YELLOW HIGHLIGHT ONLY. </t>
  </si>
  <si>
    <t>USD*</t>
  </si>
  <si>
    <t xml:space="preserve">* USD1 = PHP50 used for estimation purposes only. Please check for the current prevailing exchange rates. </t>
  </si>
  <si>
    <t>subject to change without prior notice and do not form part of an offer or contract.</t>
  </si>
  <si>
    <t>- Other Charges are subject to change based on the government mandated rates &amp; BIR ruling(s)</t>
  </si>
  <si>
    <t>- Full payment &amp; complete documentation are required prior to lot turnover.</t>
  </si>
  <si>
    <t xml:space="preserve">- These do not include expenses related to the application for various utilities (e.g. meter deposits), </t>
  </si>
  <si>
    <t>- Plus estimated MRI requirement by Bank</t>
  </si>
  <si>
    <t xml:space="preserve">- The client is required to submit complete post dated checks. </t>
  </si>
  <si>
    <t xml:space="preserve">- All plans, information and illustrations are for identification and reference only. All details are </t>
  </si>
  <si>
    <t>NOTES:</t>
  </si>
  <si>
    <t>Less Discount:</t>
  </si>
  <si>
    <t>PROPOSED TERM</t>
  </si>
  <si>
    <t>STANDARD TERM - CASH 30 DAYS</t>
  </si>
  <si>
    <t>NPV RESULTS</t>
  </si>
  <si>
    <t>Approved by:</t>
  </si>
  <si>
    <t>DMOS</t>
  </si>
  <si>
    <t>Add Improvement Costs:</t>
  </si>
  <si>
    <t>Less Discount on Improvement Costs:</t>
  </si>
  <si>
    <t>Please check with Sales Admin for verification of availability</t>
  </si>
  <si>
    <t>B3</t>
  </si>
  <si>
    <t>LOT</t>
  </si>
  <si>
    <t>B2A</t>
  </si>
  <si>
    <t>L21</t>
  </si>
  <si>
    <t>L22</t>
  </si>
  <si>
    <t>Unit no. 10, Inner Unit, Plan 1, Bldg. 2</t>
  </si>
  <si>
    <t>Unit no. 12, End Unit, Plan 3, Bldg. 2</t>
  </si>
  <si>
    <t>Unit no. 15, Inner Unit, Plan 1, Bldg. 2</t>
  </si>
  <si>
    <t>Unit no. 2, End Unit, Plan 3, Bldg. 2</t>
  </si>
  <si>
    <t>Unit no. 4, Inner Unit, Plan 1, Bldg. 2</t>
  </si>
  <si>
    <t>Unit no. 6, End Unit, Plan 3A, Bldg. 2</t>
  </si>
  <si>
    <t>Unit no. 7, End Unit, Plan 3A, Bldg. 2</t>
  </si>
  <si>
    <t>Unit no. 13, End Unit, Plan 3, Bldg. 2</t>
  </si>
  <si>
    <t>Unit no. 9, End Unit, Plan 3A, Bldg. 2</t>
  </si>
  <si>
    <t>Unit no. 20, End Unit, Plan 6, Duplex 2</t>
  </si>
  <si>
    <t>Unit no. 21, End Unit, Plan 7, Duplex 2</t>
  </si>
  <si>
    <t>Unit no. 22, End Unit, Plan 4, Duplex 1</t>
  </si>
  <si>
    <t>Unit no. 23, End Unit, Plan 5, Duplex 1</t>
  </si>
  <si>
    <t>Unit no. 24, End Unit, Plan 6, Duplex 2</t>
  </si>
  <si>
    <t>Unit no. 25, End Unit, Plan 7, Duplex 2</t>
  </si>
  <si>
    <t>Unit no. 28, End Unit, Plan 7, Duplex 2</t>
  </si>
  <si>
    <t>Unit no. 29, End Unit, Plan 6, Duplex 2</t>
  </si>
  <si>
    <t>Unit no. 5, Madonna, Single Detached</t>
  </si>
  <si>
    <t>Unit no. 6, Diana, Single Detached</t>
  </si>
  <si>
    <t>Unit no. 10, Madonna, Single Detached</t>
  </si>
  <si>
    <t>Unit no. 3, Mona Lisa, Single Detached</t>
  </si>
  <si>
    <t>Unit no. 5, Mona Lisa, Single Detached</t>
  </si>
  <si>
    <t>Unit no. 6, Madonna, Single Detached</t>
  </si>
  <si>
    <t>Unit no. 7, Mona Lisa, Single Detached</t>
  </si>
  <si>
    <t>Unit no. 8, Madonna, Single Detached</t>
  </si>
  <si>
    <t>Unit no. 9, Mona Lisa, Single Detached</t>
  </si>
  <si>
    <t>Unit no. 14, Inner Unit, Plan 1, Bldg. 2</t>
  </si>
  <si>
    <t>Unit no. 15, End Unit, Plan 3A, Bldg. 2</t>
  </si>
  <si>
    <t>Unit no. 4, End Unit, Plan 3, Bldg. 2</t>
  </si>
  <si>
    <t>Unit no. 1, Madonna, Single Detached</t>
  </si>
  <si>
    <t>Unit no. 2, End Unit, Plan 6, Duplex 2</t>
  </si>
  <si>
    <t>Unit no. 3, End Unit, Plan 7, Duplex 2</t>
  </si>
  <si>
    <t>Unit no. 22, End Unit, Plan 7, Duplex 2</t>
  </si>
  <si>
    <t>Unit no. 23, End Unit, Plan 6, Duplex 2</t>
  </si>
  <si>
    <t>Unit no. 20, End Unit, Plan 3A, Bldg.2</t>
  </si>
  <si>
    <t>Unit no. 22, Inner Unit, Plan 1, Bldg.2</t>
  </si>
  <si>
    <t>Unit no. 24, End Unit, Plan 3, Bldg.2</t>
  </si>
  <si>
    <t>Unit no. 25, End Unit, Plan 3, Bldg. 2</t>
  </si>
  <si>
    <t>Unit no. 26, End Unit, Plan 3, Bldg. 2</t>
  </si>
  <si>
    <t>Unit no. 27, Inner Unit, Plan 1, Bldg. 2</t>
  </si>
  <si>
    <t>Unit no. 28, Inner Unit, Plan 1, Bldg. 2</t>
  </si>
  <si>
    <t>Unit no. 29, End Unit, Plan 3A, Bldg. 2</t>
  </si>
  <si>
    <t>Unit no. 30, End Unit, Plan 3A, Bldg. 2</t>
  </si>
  <si>
    <t>Unit no. 31, End Unit, Plan 3A, Bldg. 2</t>
  </si>
  <si>
    <t>Unit no. 32, End Unit, Plan 3A, Bldg. 2</t>
  </si>
  <si>
    <t>Unit no. 33, Inner Unit, Plan 1, Bldg. 2</t>
  </si>
  <si>
    <t>Unit no. 34, Inner Unit, Plan 1, Bldg. 2</t>
  </si>
  <si>
    <t>Unit no. 35, End Unit, Plan 3, Bldg. 2</t>
  </si>
  <si>
    <t>Unit no. 36, End Unit, Plan 3, Bldg. 2</t>
  </si>
  <si>
    <t>Unit no. 8, End Unit, Plan 3A, Bldg. 2</t>
  </si>
  <si>
    <t>Unit no. 3, End Unit, Plan 3, Bldg. 2</t>
  </si>
  <si>
    <t>Unit no. 5, Inner Unit, Plan 1, Bldg. 2</t>
  </si>
  <si>
    <t>Unit no. 1, Diana, Single Detached</t>
  </si>
  <si>
    <t>Unit no. 3, Madonna, Single Detached</t>
  </si>
  <si>
    <t>Unit no. 4, Diana, Single Detached</t>
  </si>
  <si>
    <t>Gross Area</t>
  </si>
  <si>
    <t>B4A</t>
  </si>
  <si>
    <t>B3A</t>
  </si>
  <si>
    <t>B1A</t>
  </si>
  <si>
    <t>B1B</t>
  </si>
  <si>
    <t>House/unit area (Block / Floor Description)</t>
  </si>
  <si>
    <t>total lot list price</t>
  </si>
  <si>
    <t>Gross \Area</t>
  </si>
  <si>
    <t>10% over 12 months / 90% BF</t>
  </si>
  <si>
    <t>Less: Reservation</t>
  </si>
  <si>
    <t>90% Bank Financing</t>
  </si>
  <si>
    <t>vs Standard: 10 over 12 mos, 90% BF</t>
  </si>
  <si>
    <t>STANDARD TERM 10% OVER 12 MOS, 90% BF</t>
  </si>
  <si>
    <t>Bank financing</t>
  </si>
  <si>
    <t>Over 12 months</t>
  </si>
  <si>
    <t>DP</t>
  </si>
  <si>
    <t>LOT AREA</t>
  </si>
  <si>
    <t>HOUSE AREA</t>
  </si>
  <si>
    <t>Improvement</t>
  </si>
  <si>
    <t>Product ID Description</t>
  </si>
  <si>
    <t>D-5067B0</t>
  </si>
  <si>
    <t>THE ARBORAGE B</t>
  </si>
  <si>
    <t>Block</t>
  </si>
  <si>
    <t>The Arborage</t>
  </si>
  <si>
    <t>Lot/Unit</t>
  </si>
  <si>
    <t>UNIT</t>
  </si>
  <si>
    <t>D-5067B1</t>
  </si>
  <si>
    <t>D-5067B2</t>
  </si>
  <si>
    <t>D-5067B3</t>
  </si>
  <si>
    <t>D-5067B4</t>
  </si>
  <si>
    <t>Less 9% Discount</t>
  </si>
  <si>
    <t>95% Downpayment</t>
  </si>
  <si>
    <t>The Meridien</t>
  </si>
  <si>
    <t>STANDARD TERM 10% DP / 40% over 24 months / 50% BF</t>
  </si>
  <si>
    <t>Downpayment</t>
  </si>
  <si>
    <t>over 24 months</t>
  </si>
  <si>
    <t>Bank Financing/Lumpsum</t>
  </si>
  <si>
    <t>95% DP / 5% due on October 2021</t>
  </si>
  <si>
    <t>STANDARD TERM - 95-5</t>
  </si>
  <si>
    <t>vs Standard: Cash 95-5</t>
  </si>
  <si>
    <t>vs Standard: 30/70 (over 36 mos)</t>
  </si>
  <si>
    <t>30% within 30 days of Reservation; 70% over 36 months</t>
  </si>
  <si>
    <t>STANDARD TERM 30/70 (over 36 months)</t>
  </si>
  <si>
    <t>5% Turnover Balance</t>
  </si>
  <si>
    <t>B7A</t>
  </si>
  <si>
    <t>B7B</t>
  </si>
  <si>
    <t>Unit/Lot ID</t>
  </si>
  <si>
    <t>Sub Total</t>
  </si>
  <si>
    <t>Net List Price</t>
  </si>
  <si>
    <t>Spot Cash</t>
  </si>
  <si>
    <t>Less 1% Spot Cash Discount:</t>
  </si>
  <si>
    <t>50% Lumpsum</t>
  </si>
  <si>
    <t>B-B1-L1</t>
  </si>
  <si>
    <t>B-B1-L2</t>
  </si>
  <si>
    <t>B-B1-L3</t>
  </si>
  <si>
    <t>B-B1-L4</t>
  </si>
  <si>
    <t>B-B1-L5</t>
  </si>
  <si>
    <t>B-B1-L6</t>
  </si>
  <si>
    <t>B-B1-L7</t>
  </si>
  <si>
    <t>B-B1-L8</t>
  </si>
  <si>
    <t>B-B1-L9</t>
  </si>
  <si>
    <t>B-B1-L10</t>
  </si>
  <si>
    <t>B-B1-L11</t>
  </si>
  <si>
    <t>B-B1-L12</t>
  </si>
  <si>
    <t>B-B1-L13</t>
  </si>
  <si>
    <t>B-B1-L14</t>
  </si>
  <si>
    <t>B-B1-L15</t>
  </si>
  <si>
    <t>B-B1-L16</t>
  </si>
  <si>
    <t>B-B1-L17</t>
  </si>
  <si>
    <t>B-B1-L18</t>
  </si>
  <si>
    <t>B-B1-L19</t>
  </si>
  <si>
    <t>B-B1-L20</t>
  </si>
  <si>
    <t>B-B1-L21</t>
  </si>
  <si>
    <t>B-B1-L22</t>
  </si>
  <si>
    <t>B-B1-L23</t>
  </si>
  <si>
    <t>B-B1-L24</t>
  </si>
  <si>
    <t>B-B1-L25</t>
  </si>
  <si>
    <t>B-B1-L26</t>
  </si>
  <si>
    <t>Checked by:</t>
  </si>
  <si>
    <t>Noted by:</t>
  </si>
  <si>
    <t>PRegine</t>
  </si>
  <si>
    <t>Bcrisostomo</t>
  </si>
  <si>
    <t>PDA</t>
  </si>
  <si>
    <t>PDAM</t>
  </si>
  <si>
    <t>VP - PD&amp;Mktg</t>
  </si>
  <si>
    <t>OCDeVera</t>
  </si>
  <si>
    <t>Budget&amp;Finance Manager</t>
  </si>
  <si>
    <t>B-B2-L10</t>
  </si>
  <si>
    <t>B-B2-L12</t>
  </si>
  <si>
    <t>B-B2-L14</t>
  </si>
  <si>
    <t>B-B2-L16</t>
  </si>
  <si>
    <t>B-B2-L18</t>
  </si>
  <si>
    <t>B-B3-L18</t>
  </si>
  <si>
    <t>B-B3-L6</t>
  </si>
  <si>
    <t>B-B3-L7</t>
  </si>
  <si>
    <t>B-B3-L8</t>
  </si>
  <si>
    <t>B-B3-L9</t>
  </si>
  <si>
    <t>B-B3-L10</t>
  </si>
  <si>
    <t>B-B3-L12</t>
  </si>
  <si>
    <t>B-B3-L14</t>
  </si>
  <si>
    <t>B-B3-L16</t>
  </si>
  <si>
    <t>B-B4-L16</t>
  </si>
  <si>
    <t>B-B4-L4</t>
  </si>
  <si>
    <t>B-B4-L6</t>
  </si>
  <si>
    <t>B-B4-L8</t>
  </si>
  <si>
    <t>B-B4-L10</t>
  </si>
  <si>
    <t>B-B4-L12</t>
  </si>
  <si>
    <t>B-B4-L14</t>
  </si>
  <si>
    <t>B-B4-L18</t>
  </si>
  <si>
    <t>B-B4-L19</t>
  </si>
  <si>
    <t>B-B5-L2</t>
  </si>
  <si>
    <t>B-B5-L3</t>
  </si>
  <si>
    <t>B-B5-L6</t>
  </si>
  <si>
    <t>B-B5-L7</t>
  </si>
  <si>
    <t>B-B5-L4</t>
  </si>
  <si>
    <t>B-B2-L2</t>
  </si>
  <si>
    <t>B-B2-L4</t>
  </si>
  <si>
    <t>B-B4-L2</t>
  </si>
  <si>
    <t>B-B1-L27</t>
  </si>
  <si>
    <t>B-B1-L28</t>
  </si>
  <si>
    <t>B-B1-L29</t>
  </si>
  <si>
    <t>B-B1-L30</t>
  </si>
  <si>
    <t>B-B1-L31</t>
  </si>
  <si>
    <t>B-B1-L32</t>
  </si>
  <si>
    <t>B-B1-L33</t>
  </si>
  <si>
    <t>B-B1-L34</t>
  </si>
  <si>
    <t>B-B1-L35</t>
  </si>
  <si>
    <t>B-B1-L36</t>
  </si>
  <si>
    <t>B-B2-L1</t>
  </si>
  <si>
    <t>B-B2-L3</t>
  </si>
  <si>
    <t>B-B2-L5</t>
  </si>
  <si>
    <t>B-B2-L6</t>
  </si>
  <si>
    <t>B-B2-L7</t>
  </si>
  <si>
    <t>B-B2-L8</t>
  </si>
  <si>
    <t>B-B2-L9</t>
  </si>
  <si>
    <t>B-B2-L11</t>
  </si>
  <si>
    <t>B-B2-L13</t>
  </si>
  <si>
    <t>B-B2-L15</t>
  </si>
  <si>
    <t>B-B2-L17</t>
  </si>
  <si>
    <t>B-B2-L19</t>
  </si>
  <si>
    <t>B-B3-L5</t>
  </si>
  <si>
    <t>B-B3-L11</t>
  </si>
  <si>
    <t>B-B3-L13</t>
  </si>
  <si>
    <t>B-B3-L15</t>
  </si>
  <si>
    <t>B-B3-L17</t>
  </si>
  <si>
    <t>B-B4-L1</t>
  </si>
  <si>
    <t>B-B4-L3</t>
  </si>
  <si>
    <t>B-B4-L5</t>
  </si>
  <si>
    <t>B-B4-L7</t>
  </si>
  <si>
    <t>B-B4-L9</t>
  </si>
  <si>
    <t>B-B4-L11</t>
  </si>
  <si>
    <t>B-B4-L13</t>
  </si>
  <si>
    <t>B-B4-L15</t>
  </si>
  <si>
    <t>B-B4-L17</t>
  </si>
  <si>
    <t>B-B5-L5</t>
  </si>
  <si>
    <t>B-B5-L8</t>
  </si>
  <si>
    <t>B-B5-L9</t>
  </si>
  <si>
    <t>B-B5-L10</t>
  </si>
  <si>
    <t>50% Bank Financing</t>
  </si>
  <si>
    <t>For selected lots only</t>
  </si>
  <si>
    <t>Improvement Cost:</t>
  </si>
  <si>
    <t>Less 50% Improvement Cost Discount:</t>
  </si>
  <si>
    <t>Due on March 30, 2022</t>
  </si>
  <si>
    <t>Due 30 days from full RF</t>
  </si>
  <si>
    <t>Sub-total</t>
  </si>
  <si>
    <t>Less Additional Cash Discount:</t>
  </si>
  <si>
    <t>Total List Price:</t>
  </si>
  <si>
    <t>Less Additional Cash Discount</t>
  </si>
  <si>
    <t>Sub-total:</t>
  </si>
  <si>
    <t>vs Standard: 10-40(24)-50</t>
  </si>
  <si>
    <t>vs Standard: 30/70(36)</t>
  </si>
  <si>
    <t/>
  </si>
  <si>
    <t>STANDARD TERM 30/70(30)</t>
  </si>
  <si>
    <t>STANDARD TERM 30/70(36)</t>
  </si>
  <si>
    <t>30% Downpayment ; 70% over 36 months</t>
  </si>
  <si>
    <t>vs Standard: 30/70(30) wt 1% disc</t>
  </si>
  <si>
    <t>vs Standard: 30/70(36) no disc</t>
  </si>
  <si>
    <t>vs 50k MA (mo 1-23), 5% bullet (mo 12), Lumpsum</t>
  </si>
  <si>
    <t>vs 50k MA (mo 1-23), 2.5% bullet (mo 6,12,18), Lumpsum</t>
  </si>
  <si>
    <t>STANDARD TERM No DP, 50k MA (mo 1-23), 5% bullet (mo 12), Lumpsum</t>
  </si>
  <si>
    <t>STANDARD TERM No DP, 50k MA (mo 1-23), 2.5% bullet (mo 6,12,18), Lumpsum</t>
  </si>
  <si>
    <t>Balloon</t>
  </si>
  <si>
    <t>Monthly Amortization (mo 1-23)</t>
  </si>
  <si>
    <t>Payable per month (mo 1-23)</t>
  </si>
  <si>
    <t>5% Bullet Payment (mo 12)</t>
  </si>
  <si>
    <t>2.5% Bullet Payments (mo 6, 12,18)</t>
  </si>
  <si>
    <t>Turnover Balance</t>
  </si>
  <si>
    <t>2% Bullet Payments (mo 6, 12,18)</t>
  </si>
  <si>
    <t>DISADVANTAGED</t>
  </si>
  <si>
    <t>PRIME</t>
  </si>
  <si>
    <t>30% Downpayment / 70% over 36 months</t>
  </si>
  <si>
    <t>vs Standard: 10% DP, 40% over 24 mos, 50% BF</t>
  </si>
  <si>
    <t>STANDARD TERM 10-40(24)-50</t>
  </si>
  <si>
    <t>STANDARD TERM 10%(mo 1-23) - 2% Bullet - Lumpsum</t>
  </si>
  <si>
    <t>Bullet Payments (mo 6,12,18)</t>
  </si>
  <si>
    <t>over 20 months (mo 1-23)</t>
  </si>
  <si>
    <t>Balance</t>
  </si>
  <si>
    <t>vs Standard: 10% over 20 months, 2% Bullet, Lumpsum</t>
  </si>
  <si>
    <t>Less Reservation Fee Discount*:</t>
  </si>
  <si>
    <t>*Additional discount applicable to accounts booked within 30 days after payment of Reservation Fee.</t>
  </si>
  <si>
    <t>In case of default, the remaining half of the RF (or P25,000) shall be paid/added on the DP amount.</t>
  </si>
  <si>
    <t>In case of default, the remaining half of the RF (or P25,000) shall be paid/added on the first monthly amount.</t>
  </si>
  <si>
    <t xml:space="preserve">* Downpayment and booking requirements shall be paid and submitted within 30 days after the payment of the Reservation Fee. </t>
  </si>
  <si>
    <t xml:space="preserve">*Other Charges are subject to change based on the government mandated rates &amp; BIR ruling(s) prevailing at the time </t>
  </si>
  <si>
    <t xml:space="preserve">of registration of the Deed of Absolute Sale.  </t>
  </si>
  <si>
    <t>as of August 18, 2020</t>
  </si>
  <si>
    <t>*Payment template valid until August 31, 2020 only.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</si>
</sst>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(* #,##0_);_(* \(#,##0\);_(* &quot;-&quot;_);_(@_)"/>
    <numFmt numFmtId="43" formatCode="_(* #,##0.00_);_(* \(#,##0.00\);_(* &quot;-&quot;??_);_(@_)"/>
    <numFmt numFmtId="164" formatCode="_(* #,##0_);_(* \(#,##0\);_(* \-??_);_(@_)"/>
    <numFmt numFmtId="165" formatCode="_(* #,##0.00_);_(* \(#,##0.00\);_(* \-??_);_(@_)"/>
    <numFmt numFmtId="166" formatCode="#,##0\ &quot;sqm&quot;"/>
    <numFmt numFmtId="167" formatCode="0.000000000000"/>
    <numFmt numFmtId="168" formatCode="&quot;(&quot;#,##0\ &quot;sq ft)&quot;"/>
    <numFmt numFmtId="169" formatCode="#,##0\ &quot;sq m&quot;"/>
    <numFmt numFmtId="170" formatCode="[$-409]d\-mmm\-yy;@"/>
    <numFmt numFmtId="171" formatCode="_(* #,##0.00000000_);_(* \(#,##0.00000000\);_(* &quot;-&quot;??_);_(@_)"/>
    <numFmt numFmtId="172" formatCode="[$PHP]\ #,##0"/>
    <numFmt numFmtId="173" formatCode="_(* #,##0.00_);_(* \(#,##0.00\);_(* &quot;-&quot;_);_(@_)"/>
    <numFmt numFmtId="174" formatCode="[$₱-464]#,##0.00_);[Red]\([$₱-464]#,##0.00\)"/>
    <numFmt numFmtId="175" formatCode="_(* #,##0_);_(* \(#,##0\);_(* &quot;-&quot;??_);_(@_)"/>
    <numFmt numFmtId="176" formatCode="[$PHP]\ #,##0.00"/>
    <numFmt numFmtId="177" formatCode="[$-409]mmmm\ d\,\ yyyy;@"/>
  </numFmts>
  <fonts count="4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i/>
      <sz val="14"/>
      <color theme="9" tint="-0.24991607409894101"/>
      <name val="Calibri"/>
      <family val="2"/>
      <scheme val="minor"/>
    </font>
    <font>
      <sz val="14"/>
      <color theme="9" tint="-0.24991607409894101"/>
      <name val="Calibri"/>
      <family val="2"/>
      <scheme val="minor"/>
    </font>
    <font>
      <b/>
      <sz val="14"/>
      <color theme="9" tint="-0.2499160740989410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b/>
      <sz val="14"/>
      <color theme="0" tint="-0.49992370372631001"/>
      <name val="Calibri"/>
      <family val="2"/>
      <scheme val="minor"/>
    </font>
    <font>
      <i/>
      <sz val="14"/>
      <color theme="0" tint="-0.49992370372631001"/>
      <name val="Calibri"/>
      <family val="2"/>
      <scheme val="minor"/>
    </font>
    <font>
      <i/>
      <sz val="14"/>
      <color theme="8" tint="-0.24991607409894101"/>
      <name val="Calibri"/>
      <family val="2"/>
      <scheme val="minor"/>
    </font>
    <font>
      <i/>
      <sz val="14"/>
      <color theme="4" tint="-0.24991607409894101"/>
      <name val="Calibri"/>
      <family val="2"/>
      <scheme val="minor"/>
    </font>
    <font>
      <sz val="14"/>
      <color rgb="FF398E9C"/>
      <name val="Calibri"/>
      <family val="2"/>
      <scheme val="minor"/>
    </font>
    <font>
      <i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398E9C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color theme="0" tint="-0.49992370372631001"/>
      <name val="Calibri"/>
      <family val="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398E9C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7">
    <xf numFmtId="0" fontId="0" fillId="0" borderId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546">
    <xf numFmtId="0" fontId="0" fillId="0" borderId="0" xfId="0"/>
    <xf numFmtId="0" fontId="0" fillId="0" borderId="0" xfId="0" applyFont="1"/>
    <xf numFmtId="3" fontId="0" fillId="0" borderId="0" xfId="0" applyNumberFormat="1" applyFont="1"/>
    <xf numFmtId="4" fontId="0" fillId="0" borderId="0" xfId="0" applyNumberFormat="1" applyFont="1"/>
    <xf numFmtId="4" fontId="0" fillId="0" borderId="0" xfId="0" applyNumberFormat="1"/>
    <xf numFmtId="0" fontId="0" fillId="0" borderId="0" xfId="0" applyAlignment="1">
      <alignment horizontal="center"/>
    </xf>
    <xf numFmtId="43" fontId="0" fillId="0" borderId="0" xfId="2" applyFont="1"/>
    <xf numFmtId="0" fontId="3" fillId="0" borderId="0" xfId="0" applyFont="1"/>
    <xf numFmtId="0" fontId="4" fillId="0" borderId="0" xfId="0" applyFont="1"/>
    <xf numFmtId="43" fontId="4" fillId="0" borderId="0" xfId="2" applyFont="1"/>
    <xf numFmtId="14" fontId="5" fillId="0" borderId="0" xfId="0" applyNumberFormat="1" applyFont="1" applyAlignment="1">
      <alignment horizontal="left"/>
    </xf>
    <xf numFmtId="0" fontId="7" fillId="0" borderId="0" xfId="0" applyFont="1"/>
    <xf numFmtId="43" fontId="7" fillId="0" borderId="0" xfId="2" applyFont="1"/>
    <xf numFmtId="0" fontId="5" fillId="0" borderId="0" xfId="0" applyFont="1"/>
    <xf numFmtId="0" fontId="4" fillId="0" borderId="0" xfId="0" quotePrefix="1" applyFont="1"/>
    <xf numFmtId="9" fontId="8" fillId="0" borderId="0" xfId="0" applyNumberFormat="1" applyFont="1"/>
    <xf numFmtId="0" fontId="8" fillId="0" borderId="0" xfId="0" applyFont="1"/>
    <xf numFmtId="0" fontId="6" fillId="0" borderId="0" xfId="0" applyFont="1"/>
    <xf numFmtId="43" fontId="4" fillId="0" borderId="0" xfId="0" applyNumberFormat="1" applyFont="1"/>
    <xf numFmtId="43" fontId="7" fillId="0" borderId="0" xfId="0" applyNumberFormat="1" applyFont="1"/>
    <xf numFmtId="43" fontId="7" fillId="0" borderId="0" xfId="2" quotePrefix="1" applyFont="1"/>
    <xf numFmtId="9" fontId="9" fillId="0" borderId="0" xfId="1" applyFont="1"/>
    <xf numFmtId="9" fontId="9" fillId="0" borderId="0" xfId="0" applyNumberFormat="1" applyFont="1"/>
    <xf numFmtId="0" fontId="10" fillId="0" borderId="0" xfId="0" applyFont="1"/>
    <xf numFmtId="0" fontId="11" fillId="0" borderId="0" xfId="0" applyFont="1"/>
    <xf numFmtId="43" fontId="11" fillId="0" borderId="1" xfId="2" applyFont="1" applyBorder="1"/>
    <xf numFmtId="9" fontId="9" fillId="0" borderId="0" xfId="1" applyFont="1" applyFill="1"/>
    <xf numFmtId="167" fontId="4" fillId="0" borderId="0" xfId="0" applyNumberFormat="1" applyFont="1"/>
    <xf numFmtId="0" fontId="4" fillId="0" borderId="2" xfId="0" applyFont="1" applyBorder="1"/>
    <xf numFmtId="169" fontId="4" fillId="0" borderId="0" xfId="0" applyNumberFormat="1" applyFont="1" applyBorder="1" applyAlignment="1">
      <alignment horizontal="center"/>
    </xf>
    <xf numFmtId="168" fontId="4" fillId="0" borderId="3" xfId="0" applyNumberFormat="1" applyFont="1" applyBorder="1" applyAlignment="1">
      <alignment horizontal="center"/>
    </xf>
    <xf numFmtId="0" fontId="10" fillId="0" borderId="2" xfId="0" applyFont="1" applyBorder="1"/>
    <xf numFmtId="0" fontId="7" fillId="0" borderId="2" xfId="0" applyFont="1" applyBorder="1"/>
    <xf numFmtId="0" fontId="7" fillId="0" borderId="4" xfId="0" applyFont="1" applyBorder="1"/>
    <xf numFmtId="43" fontId="4" fillId="0" borderId="3" xfId="2" applyFont="1" applyBorder="1" applyAlignment="1"/>
    <xf numFmtId="43" fontId="10" fillId="0" borderId="3" xfId="2" applyFont="1" applyBorder="1" applyAlignment="1"/>
    <xf numFmtId="43" fontId="7" fillId="0" borderId="3" xfId="2" applyFont="1" applyBorder="1" applyAlignment="1"/>
    <xf numFmtId="43" fontId="7" fillId="0" borderId="5" xfId="2" applyFont="1" applyBorder="1" applyAlignment="1"/>
    <xf numFmtId="0" fontId="4" fillId="0" borderId="0" xfId="0" applyFont="1" applyBorder="1"/>
    <xf numFmtId="0" fontId="10" fillId="0" borderId="0" xfId="0" applyFont="1" applyBorder="1"/>
    <xf numFmtId="0" fontId="7" fillId="0" borderId="0" xfId="0" applyFont="1" applyBorder="1"/>
    <xf numFmtId="0" fontId="7" fillId="0" borderId="6" xfId="0" applyFont="1" applyBorder="1"/>
    <xf numFmtId="14" fontId="5" fillId="0" borderId="0" xfId="0" applyNumberFormat="1" applyFont="1"/>
    <xf numFmtId="0" fontId="13" fillId="0" borderId="0" xfId="0" applyFont="1"/>
    <xf numFmtId="0" fontId="4" fillId="0" borderId="7" xfId="0" applyFont="1" applyBorder="1" applyAlignment="1">
      <alignment horizontal="center"/>
    </xf>
    <xf numFmtId="43" fontId="4" fillId="0" borderId="7" xfId="0" applyNumberFormat="1" applyFont="1" applyBorder="1"/>
    <xf numFmtId="0" fontId="4" fillId="0" borderId="8" xfId="0" applyFont="1" applyBorder="1" applyAlignment="1">
      <alignment horizontal="center"/>
    </xf>
    <xf numFmtId="43" fontId="4" fillId="0" borderId="8" xfId="0" applyNumberFormat="1" applyFont="1" applyBorder="1"/>
    <xf numFmtId="43" fontId="4" fillId="0" borderId="9" xfId="0" applyNumberFormat="1" applyFont="1" applyBorder="1"/>
    <xf numFmtId="0" fontId="4" fillId="0" borderId="6" xfId="0" applyFont="1" applyBorder="1"/>
    <xf numFmtId="49" fontId="4" fillId="0" borderId="0" xfId="0" applyNumberFormat="1" applyFont="1"/>
    <xf numFmtId="0" fontId="12" fillId="0" borderId="0" xfId="0" applyFont="1"/>
    <xf numFmtId="171" fontId="7" fillId="0" borderId="0" xfId="0" applyNumberFormat="1" applyFont="1"/>
    <xf numFmtId="0" fontId="4" fillId="0" borderId="10" xfId="0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0" fontId="4" fillId="0" borderId="7" xfId="0" applyFont="1" applyBorder="1"/>
    <xf numFmtId="43" fontId="4" fillId="0" borderId="7" xfId="2" applyFont="1" applyBorder="1" applyAlignment="1"/>
    <xf numFmtId="43" fontId="4" fillId="0" borderId="12" xfId="2" applyFont="1" applyBorder="1" applyAlignment="1"/>
    <xf numFmtId="43" fontId="4" fillId="0" borderId="12" xfId="0" applyNumberFormat="1" applyFont="1" applyBorder="1"/>
    <xf numFmtId="0" fontId="14" fillId="0" borderId="0" xfId="0" applyFont="1"/>
    <xf numFmtId="0" fontId="14" fillId="0" borderId="1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5" xfId="0" applyFont="1" applyBorder="1"/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43" fontId="4" fillId="0" borderId="7" xfId="2" applyFont="1" applyBorder="1"/>
    <xf numFmtId="14" fontId="4" fillId="0" borderId="7" xfId="0" applyNumberFormat="1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7" xfId="0" applyFont="1" applyBorder="1"/>
    <xf numFmtId="0" fontId="7" fillId="0" borderId="18" xfId="0" applyFont="1" applyBorder="1"/>
    <xf numFmtId="0" fontId="7" fillId="0" borderId="19" xfId="0" applyFont="1" applyBorder="1"/>
    <xf numFmtId="43" fontId="7" fillId="0" borderId="20" xfId="2" applyFont="1" applyBorder="1" applyAlignment="1"/>
    <xf numFmtId="43" fontId="4" fillId="0" borderId="3" xfId="2" applyFont="1" applyBorder="1"/>
    <xf numFmtId="43" fontId="7" fillId="0" borderId="5" xfId="2" applyFont="1" applyFill="1" applyBorder="1" applyAlignment="1"/>
    <xf numFmtId="43" fontId="7" fillId="0" borderId="7" xfId="0" applyNumberFormat="1" applyFont="1" applyBorder="1"/>
    <xf numFmtId="10" fontId="7" fillId="0" borderId="0" xfId="1" applyNumberFormat="1" applyFont="1"/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22" fontId="1" fillId="0" borderId="0" xfId="0" applyNumberFormat="1" applyFont="1" applyAlignment="1">
      <alignment horizontal="center"/>
    </xf>
    <xf numFmtId="10" fontId="4" fillId="0" borderId="0" xfId="0" applyNumberFormat="1" applyFont="1"/>
    <xf numFmtId="9" fontId="8" fillId="0" borderId="0" xfId="0" applyNumberFormat="1" applyFont="1" applyBorder="1"/>
    <xf numFmtId="0" fontId="4" fillId="0" borderId="0" xfId="0" applyFont="1" applyBorder="1" applyAlignment="1"/>
    <xf numFmtId="0" fontId="4" fillId="0" borderId="0" xfId="0" applyFont="1" applyBorder="1" applyAlignment="1">
      <alignment shrinkToFit="1"/>
    </xf>
    <xf numFmtId="166" fontId="4" fillId="0" borderId="0" xfId="0" applyNumberFormat="1" applyFont="1" applyBorder="1" applyAlignment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9" fontId="4" fillId="0" borderId="0" xfId="1" applyFont="1" applyFill="1" applyBorder="1" applyAlignment="1">
      <alignment horizontal="center"/>
    </xf>
    <xf numFmtId="43" fontId="4" fillId="0" borderId="0" xfId="0" applyNumberFormat="1" applyFont="1" applyFill="1" applyBorder="1"/>
    <xf numFmtId="0" fontId="4" fillId="0" borderId="13" xfId="0" applyFont="1" applyFill="1" applyBorder="1" applyAlignment="1"/>
    <xf numFmtId="0" fontId="4" fillId="0" borderId="0" xfId="0" applyFont="1" applyFill="1" applyBorder="1" applyAlignment="1"/>
    <xf numFmtId="0" fontId="4" fillId="0" borderId="15" xfId="0" applyFont="1" applyFill="1" applyBorder="1" applyAlignment="1"/>
    <xf numFmtId="43" fontId="4" fillId="0" borderId="0" xfId="2" applyFont="1" applyFill="1" applyBorder="1"/>
    <xf numFmtId="43" fontId="4" fillId="0" borderId="0" xfId="2" applyFont="1" applyFill="1" applyBorder="1" applyAlignment="1"/>
    <xf numFmtId="0" fontId="4" fillId="0" borderId="3" xfId="0" applyFont="1" applyBorder="1"/>
    <xf numFmtId="43" fontId="11" fillId="0" borderId="0" xfId="2" applyFont="1" applyBorder="1"/>
    <xf numFmtId="0" fontId="4" fillId="0" borderId="1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1" xfId="0" applyFont="1" applyBorder="1" applyAlignment="1">
      <alignment horizontal="center" shrinkToFit="1"/>
    </xf>
    <xf numFmtId="166" fontId="4" fillId="0" borderId="21" xfId="0" applyNumberFormat="1" applyFont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7" fillId="0" borderId="0" xfId="0" applyFont="1"/>
    <xf numFmtId="0" fontId="0" fillId="0" borderId="23" xfId="0" quotePrefix="1" applyFont="1" applyBorder="1" applyAlignment="1">
      <alignment horizontal="center"/>
    </xf>
    <xf numFmtId="172" fontId="0" fillId="0" borderId="23" xfId="3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43" fontId="4" fillId="0" borderId="14" xfId="2" applyFont="1" applyBorder="1"/>
    <xf numFmtId="0" fontId="5" fillId="0" borderId="0" xfId="0" applyFont="1" applyAlignment="1">
      <alignment horizontal="left" indent="2"/>
    </xf>
    <xf numFmtId="0" fontId="10" fillId="0" borderId="0" xfId="0" applyFont="1" applyAlignment="1">
      <alignment horizontal="left" indent="2"/>
    </xf>
    <xf numFmtId="0" fontId="19" fillId="0" borderId="0" xfId="0" applyFont="1" applyAlignment="1"/>
    <xf numFmtId="43" fontId="7" fillId="0" borderId="0" xfId="2" applyNumberFormat="1" applyFont="1"/>
    <xf numFmtId="43" fontId="11" fillId="0" borderId="0" xfId="2" applyNumberFormat="1" applyFont="1" applyBorder="1"/>
    <xf numFmtId="43" fontId="11" fillId="0" borderId="1" xfId="2" applyNumberFormat="1" applyFont="1" applyBorder="1"/>
    <xf numFmtId="43" fontId="4" fillId="0" borderId="14" xfId="2" applyNumberFormat="1" applyFont="1" applyBorder="1"/>
    <xf numFmtId="43" fontId="4" fillId="0" borderId="0" xfId="2" applyNumberFormat="1" applyFont="1"/>
    <xf numFmtId="0" fontId="14" fillId="0" borderId="24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43" fontId="7" fillId="0" borderId="0" xfId="2" applyFont="1" applyAlignment="1">
      <alignment horizontal="center"/>
    </xf>
    <xf numFmtId="0" fontId="20" fillId="0" borderId="0" xfId="0" applyFont="1" applyAlignment="1">
      <alignment horizontal="center"/>
    </xf>
    <xf numFmtId="43" fontId="7" fillId="0" borderId="14" xfId="2" applyNumberFormat="1" applyFont="1" applyBorder="1"/>
    <xf numFmtId="0" fontId="23" fillId="0" borderId="2" xfId="0" applyFont="1" applyBorder="1"/>
    <xf numFmtId="0" fontId="23" fillId="0" borderId="0" xfId="0" applyFont="1" applyBorder="1"/>
    <xf numFmtId="43" fontId="23" fillId="0" borderId="3" xfId="2" applyFont="1" applyBorder="1" applyAlignment="1"/>
    <xf numFmtId="0" fontId="4" fillId="0" borderId="2" xfId="0" applyFont="1" applyBorder="1" applyAlignment="1">
      <alignment horizontal="left" indent="2"/>
    </xf>
    <xf numFmtId="43" fontId="23" fillId="0" borderId="3" xfId="2" applyFont="1" applyFill="1" applyBorder="1" applyAlignment="1"/>
    <xf numFmtId="173" fontId="7" fillId="0" borderId="0" xfId="3" applyNumberFormat="1" applyFont="1"/>
    <xf numFmtId="0" fontId="18" fillId="0" borderId="0" xfId="0" quotePrefix="1" applyFont="1" applyAlignment="1"/>
    <xf numFmtId="0" fontId="5" fillId="0" borderId="2" xfId="0" applyFont="1" applyBorder="1"/>
    <xf numFmtId="0" fontId="5" fillId="0" borderId="0" xfId="0" applyFont="1" applyBorder="1"/>
    <xf numFmtId="43" fontId="5" fillId="0" borderId="3" xfId="2" applyFont="1" applyBorder="1" applyAlignment="1"/>
    <xf numFmtId="0" fontId="7" fillId="2" borderId="26" xfId="0" applyFont="1" applyFill="1" applyBorder="1" applyAlignment="1">
      <alignment horizontal="right"/>
    </xf>
    <xf numFmtId="10" fontId="7" fillId="2" borderId="27" xfId="1" applyNumberFormat="1" applyFont="1" applyFill="1" applyBorder="1"/>
    <xf numFmtId="174" fontId="7" fillId="2" borderId="28" xfId="0" applyNumberFormat="1" applyFont="1" applyFill="1" applyBorder="1"/>
    <xf numFmtId="0" fontId="22" fillId="0" borderId="2" xfId="0" applyFont="1" applyBorder="1"/>
    <xf numFmtId="0" fontId="22" fillId="0" borderId="0" xfId="0" applyFont="1" applyBorder="1"/>
    <xf numFmtId="43" fontId="22" fillId="0" borderId="3" xfId="2" applyFont="1" applyBorder="1" applyAlignment="1"/>
    <xf numFmtId="14" fontId="4" fillId="0" borderId="7" xfId="0" applyNumberFormat="1" applyFont="1" applyFill="1" applyBorder="1" applyAlignment="1">
      <alignment horizontal="center"/>
    </xf>
    <xf numFmtId="43" fontId="0" fillId="0" borderId="0" xfId="0" applyNumberFormat="1"/>
    <xf numFmtId="43" fontId="4" fillId="0" borderId="0" xfId="2" applyFont="1" applyBorder="1"/>
    <xf numFmtId="9" fontId="23" fillId="0" borderId="0" xfId="1" applyFont="1" applyBorder="1"/>
    <xf numFmtId="0" fontId="25" fillId="0" borderId="0" xfId="0" applyFont="1" applyAlignment="1">
      <alignment horizontal="left" indent="2"/>
    </xf>
    <xf numFmtId="43" fontId="26" fillId="0" borderId="0" xfId="2" applyNumberFormat="1" applyFont="1" applyBorder="1"/>
    <xf numFmtId="43" fontId="5" fillId="0" borderId="0" xfId="2" applyNumberFormat="1" applyFont="1"/>
    <xf numFmtId="43" fontId="26" fillId="0" borderId="1" xfId="2" applyFont="1" applyBorder="1"/>
    <xf numFmtId="43" fontId="5" fillId="0" borderId="0" xfId="2" applyFont="1"/>
    <xf numFmtId="0" fontId="13" fillId="0" borderId="0" xfId="0" applyFont="1" applyAlignment="1">
      <alignment horizontal="right"/>
    </xf>
    <xf numFmtId="0" fontId="5" fillId="0" borderId="0" xfId="0" quotePrefix="1" applyFont="1"/>
    <xf numFmtId="0" fontId="4" fillId="3" borderId="7" xfId="0" applyFont="1" applyFill="1" applyBorder="1" applyAlignment="1">
      <alignment horizontal="center"/>
    </xf>
    <xf numFmtId="0" fontId="4" fillId="3" borderId="7" xfId="0" applyFont="1" applyFill="1" applyBorder="1"/>
    <xf numFmtId="9" fontId="4" fillId="3" borderId="7" xfId="1" applyFont="1" applyFill="1" applyBorder="1" applyAlignment="1">
      <alignment horizontal="center"/>
    </xf>
    <xf numFmtId="43" fontId="4" fillId="3" borderId="7" xfId="0" applyNumberFormat="1" applyFont="1" applyFill="1" applyBorder="1"/>
    <xf numFmtId="0" fontId="4" fillId="3" borderId="0" xfId="0" applyFont="1" applyFill="1"/>
    <xf numFmtId="10" fontId="4" fillId="3" borderId="0" xfId="0" applyNumberFormat="1" applyFont="1" applyFill="1"/>
    <xf numFmtId="43" fontId="4" fillId="3" borderId="0" xfId="0" applyNumberFormat="1" applyFont="1" applyFill="1"/>
    <xf numFmtId="0" fontId="25" fillId="0" borderId="2" xfId="0" applyFont="1" applyBorder="1" applyAlignment="1">
      <alignment horizontal="left" indent="2"/>
    </xf>
    <xf numFmtId="0" fontId="25" fillId="0" borderId="0" xfId="0" applyFont="1" applyBorder="1"/>
    <xf numFmtId="43" fontId="25" fillId="0" borderId="3" xfId="2" applyFont="1" applyBorder="1" applyAlignment="1"/>
    <xf numFmtId="0" fontId="27" fillId="0" borderId="0" xfId="0" applyFont="1"/>
    <xf numFmtId="0" fontId="26" fillId="0" borderId="0" xfId="0" applyFont="1" applyBorder="1"/>
    <xf numFmtId="43" fontId="26" fillId="0" borderId="3" xfId="2" applyFont="1" applyBorder="1" applyAlignment="1"/>
    <xf numFmtId="43" fontId="25" fillId="0" borderId="3" xfId="2" applyFont="1" applyFill="1" applyBorder="1" applyAlignment="1"/>
    <xf numFmtId="0" fontId="24" fillId="0" borderId="0" xfId="0" applyFont="1"/>
    <xf numFmtId="0" fontId="25" fillId="0" borderId="0" xfId="0" applyFont="1"/>
    <xf numFmtId="0" fontId="3" fillId="0" borderId="0" xfId="0" applyFont="1" applyAlignment="1">
      <alignment horizontal="left"/>
    </xf>
    <xf numFmtId="0" fontId="29" fillId="0" borderId="0" xfId="0" applyFont="1"/>
    <xf numFmtId="0" fontId="0" fillId="4" borderId="0" xfId="0" applyFill="1"/>
    <xf numFmtId="3" fontId="0" fillId="4" borderId="0" xfId="0" applyNumberFormat="1" applyFont="1" applyFill="1"/>
    <xf numFmtId="4" fontId="0" fillId="4" borderId="0" xfId="0" applyNumberFormat="1" applyFill="1"/>
    <xf numFmtId="43" fontId="0" fillId="4" borderId="0" xfId="2" applyFont="1" applyFill="1"/>
    <xf numFmtId="49" fontId="14" fillId="5" borderId="8" xfId="0" applyNumberFormat="1" applyFont="1" applyFill="1" applyBorder="1" applyAlignment="1" applyProtection="1">
      <alignment horizontal="center"/>
      <protection locked="0"/>
    </xf>
    <xf numFmtId="0" fontId="14" fillId="5" borderId="8" xfId="0" applyFont="1" applyFill="1" applyBorder="1" applyAlignment="1" applyProtection="1">
      <alignment horizontal="center"/>
      <protection locked="0"/>
    </xf>
    <xf numFmtId="0" fontId="14" fillId="5" borderId="29" xfId="0" applyFont="1" applyFill="1" applyBorder="1" applyAlignment="1" applyProtection="1">
      <alignment horizontal="center"/>
      <protection locked="0"/>
    </xf>
    <xf numFmtId="0" fontId="25" fillId="0" borderId="2" xfId="0" applyFont="1" applyBorder="1"/>
    <xf numFmtId="43" fontId="32" fillId="0" borderId="0" xfId="2" applyFont="1"/>
    <xf numFmtId="0" fontId="31" fillId="0" borderId="0" xfId="0" applyFont="1" applyFill="1"/>
    <xf numFmtId="0" fontId="31" fillId="0" borderId="0" xfId="0" applyFont="1" applyFill="1" applyAlignment="1">
      <alignment horizontal="center"/>
    </xf>
    <xf numFmtId="0" fontId="6" fillId="0" borderId="0" xfId="0" applyFont="1" applyFill="1" applyBorder="1" applyAlignment="1"/>
    <xf numFmtId="43" fontId="26" fillId="0" borderId="0" xfId="2" applyFont="1"/>
    <xf numFmtId="0" fontId="17" fillId="0" borderId="0" xfId="0" applyFont="1" applyFill="1"/>
    <xf numFmtId="0" fontId="4" fillId="0" borderId="0" xfId="0" applyFont="1" applyAlignment="1">
      <alignment horizontal="left" indent="1"/>
    </xf>
    <xf numFmtId="0" fontId="27" fillId="0" borderId="0" xfId="0" applyFont="1" applyAlignment="1">
      <alignment horizontal="left" indent="1"/>
    </xf>
    <xf numFmtId="0" fontId="12" fillId="0" borderId="0" xfId="0" applyFont="1" applyAlignment="1">
      <alignment horizontal="left" indent="1"/>
    </xf>
    <xf numFmtId="0" fontId="4" fillId="0" borderId="6" xfId="0" applyFont="1" applyBorder="1" applyAlignment="1">
      <alignment horizontal="left" indent="1"/>
    </xf>
    <xf numFmtId="49" fontId="4" fillId="0" borderId="0" xfId="0" applyNumberFormat="1" applyFont="1" applyAlignment="1">
      <alignment horizontal="left" indent="1"/>
    </xf>
    <xf numFmtId="0" fontId="2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6" xfId="0" applyFont="1" applyBorder="1" applyAlignment="1"/>
    <xf numFmtId="0" fontId="14" fillId="0" borderId="30" xfId="0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14" fillId="0" borderId="32" xfId="0" applyFont="1" applyBorder="1" applyAlignment="1">
      <alignment horizontal="center"/>
    </xf>
    <xf numFmtId="172" fontId="0" fillId="0" borderId="33" xfId="3" quotePrefix="1" applyNumberFormat="1" applyFont="1" applyBorder="1" applyAlignment="1">
      <alignment horizontal="center"/>
    </xf>
    <xf numFmtId="168" fontId="4" fillId="0" borderId="3" xfId="0" applyNumberFormat="1" applyFont="1" applyBorder="1" applyAlignment="1">
      <alignment horizontal="right"/>
    </xf>
    <xf numFmtId="43" fontId="7" fillId="0" borderId="3" xfId="2" applyFont="1" applyBorder="1" applyAlignment="1">
      <alignment horizontal="right"/>
    </xf>
    <xf numFmtId="43" fontId="25" fillId="0" borderId="3" xfId="2" applyFont="1" applyBorder="1" applyAlignment="1">
      <alignment horizontal="right"/>
    </xf>
    <xf numFmtId="43" fontId="4" fillId="0" borderId="3" xfId="2" applyFont="1" applyBorder="1" applyAlignment="1">
      <alignment horizontal="right"/>
    </xf>
    <xf numFmtId="43" fontId="7" fillId="0" borderId="5" xfId="2" applyFont="1" applyBorder="1" applyAlignment="1">
      <alignment horizontal="right"/>
    </xf>
    <xf numFmtId="43" fontId="23" fillId="0" borderId="3" xfId="2" applyFont="1" applyBorder="1" applyAlignment="1">
      <alignment horizontal="right"/>
    </xf>
    <xf numFmtId="43" fontId="25" fillId="0" borderId="3" xfId="2" applyFont="1" applyFill="1" applyBorder="1" applyAlignment="1">
      <alignment horizontal="right"/>
    </xf>
    <xf numFmtId="43" fontId="7" fillId="0" borderId="5" xfId="2" applyFont="1" applyFill="1" applyBorder="1" applyAlignment="1">
      <alignment horizontal="right"/>
    </xf>
    <xf numFmtId="0" fontId="5" fillId="0" borderId="0" xfId="0" applyFont="1" applyAlignment="1">
      <alignment horizontal="left" indent="1"/>
    </xf>
    <xf numFmtId="0" fontId="25" fillId="0" borderId="0" xfId="0" applyFont="1" applyAlignment="1">
      <alignment horizontal="left" indent="1"/>
    </xf>
    <xf numFmtId="43" fontId="4" fillId="0" borderId="1" xfId="2" applyFont="1" applyBorder="1"/>
    <xf numFmtId="43" fontId="5" fillId="0" borderId="1" xfId="2" applyFont="1" applyBorder="1"/>
    <xf numFmtId="43" fontId="26" fillId="0" borderId="0" xfId="2" applyFont="1" applyBorder="1"/>
    <xf numFmtId="43" fontId="7" fillId="0" borderId="14" xfId="2" applyFont="1" applyBorder="1"/>
    <xf numFmtId="173" fontId="7" fillId="0" borderId="14" xfId="3" applyNumberFormat="1" applyFont="1" applyBorder="1"/>
    <xf numFmtId="0" fontId="9" fillId="0" borderId="0" xfId="0" applyFont="1"/>
    <xf numFmtId="0" fontId="4" fillId="0" borderId="0" xfId="0" quotePrefix="1" applyFont="1" applyAlignment="1">
      <alignment horizontal="left"/>
    </xf>
    <xf numFmtId="175" fontId="21" fillId="0" borderId="0" xfId="0" applyNumberFormat="1" applyFont="1"/>
    <xf numFmtId="175" fontId="21" fillId="0" borderId="1" xfId="0" applyNumberFormat="1" applyFont="1" applyBorder="1"/>
    <xf numFmtId="175" fontId="21" fillId="0" borderId="0" xfId="0" applyNumberFormat="1" applyFont="1" applyBorder="1"/>
    <xf numFmtId="175" fontId="21" fillId="0" borderId="14" xfId="0" applyNumberFormat="1" applyFont="1" applyBorder="1"/>
    <xf numFmtId="175" fontId="25" fillId="0" borderId="0" xfId="0" applyNumberFormat="1" applyFont="1"/>
    <xf numFmtId="175" fontId="4" fillId="0" borderId="0" xfId="0" applyNumberFormat="1" applyFont="1"/>
    <xf numFmtId="0" fontId="4" fillId="0" borderId="0" xfId="0" applyFont="1" applyFill="1" applyBorder="1" applyAlignment="1">
      <alignment horizontal="center"/>
    </xf>
    <xf numFmtId="9" fontId="8" fillId="0" borderId="0" xfId="1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6" borderId="0" xfId="0" applyFont="1" applyFill="1" applyBorder="1"/>
    <xf numFmtId="9" fontId="4" fillId="6" borderId="0" xfId="1" applyFont="1" applyFill="1" applyBorder="1" applyAlignment="1">
      <alignment horizontal="center"/>
    </xf>
    <xf numFmtId="43" fontId="4" fillId="6" borderId="0" xfId="0" applyNumberFormat="1" applyFont="1" applyFill="1" applyBorder="1"/>
    <xf numFmtId="0" fontId="4" fillId="6" borderId="0" xfId="0" applyFont="1" applyFill="1" applyBorder="1" applyAlignment="1">
      <alignment horizontal="center"/>
    </xf>
    <xf numFmtId="0" fontId="0" fillId="0" borderId="0" xfId="0" applyFill="1"/>
    <xf numFmtId="3" fontId="0" fillId="0" borderId="0" xfId="0" applyNumberFormat="1" applyFont="1" applyFill="1"/>
    <xf numFmtId="43" fontId="0" fillId="0" borderId="0" xfId="2" applyFont="1" applyFill="1"/>
    <xf numFmtId="4" fontId="0" fillId="0" borderId="0" xfId="0" applyNumberFormat="1" applyFill="1"/>
    <xf numFmtId="0" fontId="30" fillId="0" borderId="0" xfId="0" applyFont="1" applyFill="1"/>
    <xf numFmtId="4" fontId="0" fillId="0" borderId="0" xfId="0" applyNumberFormat="1" applyAlignment="1">
      <alignment horizontal="center"/>
    </xf>
    <xf numFmtId="43" fontId="0" fillId="0" borderId="0" xfId="2" applyFont="1" applyAlignment="1">
      <alignment horizontal="center"/>
    </xf>
    <xf numFmtId="9" fontId="8" fillId="6" borderId="0" xfId="0" applyNumberFormat="1" applyFont="1" applyFill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49" fontId="25" fillId="0" borderId="0" xfId="0" applyNumberFormat="1" applyFont="1" applyAlignment="1">
      <alignment horizontal="left" indent="2"/>
    </xf>
    <xf numFmtId="170" fontId="4" fillId="0" borderId="0" xfId="0" applyNumberFormat="1" applyFont="1" applyBorder="1" applyAlignment="1">
      <alignment horizontal="center"/>
    </xf>
    <xf numFmtId="43" fontId="4" fillId="0" borderId="0" xfId="0" applyNumberFormat="1" applyFont="1" applyBorder="1"/>
    <xf numFmtId="0" fontId="33" fillId="0" borderId="0" xfId="0" applyFont="1" applyAlignment="1"/>
    <xf numFmtId="43" fontId="10" fillId="0" borderId="0" xfId="0" applyNumberFormat="1" applyFont="1"/>
    <xf numFmtId="0" fontId="31" fillId="0" borderId="0" xfId="0" applyFont="1"/>
    <xf numFmtId="9" fontId="5" fillId="0" borderId="0" xfId="1" applyFont="1"/>
    <xf numFmtId="170" fontId="4" fillId="0" borderId="0" xfId="0" applyNumberFormat="1" applyFont="1"/>
    <xf numFmtId="0" fontId="31" fillId="0" borderId="0" xfId="0" applyFont="1" applyFill="1" applyProtection="1">
      <protection hidden="1"/>
    </xf>
    <xf numFmtId="0" fontId="31" fillId="0" borderId="0" xfId="0" applyFont="1" applyProtection="1">
      <protection hidden="1"/>
    </xf>
    <xf numFmtId="9" fontId="31" fillId="0" borderId="0" xfId="0" applyNumberFormat="1" applyFont="1" applyFill="1" applyProtection="1">
      <protection hidden="1"/>
    </xf>
    <xf numFmtId="0" fontId="31" fillId="0" borderId="0" xfId="0" quotePrefix="1" applyFont="1" applyFill="1" applyAlignment="1" applyProtection="1">
      <alignment horizontal="center"/>
      <protection hidden="1"/>
    </xf>
    <xf numFmtId="0" fontId="34" fillId="0" borderId="0" xfId="0" applyFont="1" applyFill="1" applyAlignment="1">
      <alignment horizontal="center"/>
    </xf>
    <xf numFmtId="4" fontId="34" fillId="0" borderId="0" xfId="0" applyNumberFormat="1" applyFont="1" applyFill="1" applyAlignment="1">
      <alignment horizontal="center"/>
    </xf>
    <xf numFmtId="0" fontId="34" fillId="0" borderId="34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/>
    </xf>
    <xf numFmtId="0" fontId="2" fillId="0" borderId="35" xfId="0" applyFont="1" applyFill="1" applyBorder="1" applyAlignment="1">
      <alignment horizontal="center"/>
    </xf>
    <xf numFmtId="0" fontId="2" fillId="4" borderId="35" xfId="0" applyFont="1" applyFill="1" applyBorder="1" applyAlignment="1">
      <alignment horizontal="center"/>
    </xf>
    <xf numFmtId="0" fontId="2" fillId="4" borderId="35" xfId="0" applyFont="1" applyFill="1" applyBorder="1" applyAlignment="1">
      <alignment horizontal="center"/>
    </xf>
    <xf numFmtId="2" fontId="2" fillId="4" borderId="35" xfId="0" applyNumberFormat="1" applyFont="1" applyFill="1" applyBorder="1" applyAlignment="1">
      <alignment horizontal="center"/>
    </xf>
    <xf numFmtId="164" fontId="2" fillId="4" borderId="35" xfId="0" applyNumberFormat="1" applyFont="1" applyFill="1" applyBorder="1" applyAlignment="1">
      <alignment horizontal="center"/>
    </xf>
    <xf numFmtId="2" fontId="2" fillId="4" borderId="35" xfId="0" applyNumberFormat="1" applyFont="1" applyFill="1" applyBorder="1" applyAlignment="1">
      <alignment horizontal="center"/>
    </xf>
    <xf numFmtId="164" fontId="2" fillId="4" borderId="35" xfId="0" applyNumberFormat="1" applyFont="1" applyFill="1" applyBorder="1" applyAlignment="1">
      <alignment horizontal="center"/>
    </xf>
    <xf numFmtId="3" fontId="34" fillId="0" borderId="0" xfId="0" applyNumberFormat="1" applyFont="1" applyFill="1" applyAlignment="1">
      <alignment horizontal="center"/>
    </xf>
    <xf numFmtId="4" fontId="2" fillId="4" borderId="35" xfId="0" applyNumberFormat="1" applyFont="1" applyFill="1" applyBorder="1" applyAlignment="1">
      <alignment horizontal="center"/>
    </xf>
    <xf numFmtId="165" fontId="2" fillId="4" borderId="35" xfId="0" applyNumberFormat="1" applyFont="1" applyFill="1" applyBorder="1" applyAlignment="1">
      <alignment horizontal="center"/>
    </xf>
    <xf numFmtId="43" fontId="2" fillId="4" borderId="0" xfId="0" applyNumberFormat="1" applyFont="1" applyFill="1" applyBorder="1" applyAlignment="1">
      <alignment horizontal="center"/>
    </xf>
    <xf numFmtId="43" fontId="2" fillId="4" borderId="0" xfId="2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9" fillId="7" borderId="0" xfId="0" applyFont="1" applyFill="1"/>
    <xf numFmtId="3" fontId="29" fillId="7" borderId="0" xfId="0" applyNumberFormat="1" applyFont="1" applyFill="1"/>
    <xf numFmtId="3" fontId="29" fillId="0" borderId="0" xfId="0" applyNumberFormat="1" applyFont="1"/>
    <xf numFmtId="4" fontId="29" fillId="7" borderId="0" xfId="0" applyNumberFormat="1" applyFont="1" applyFill="1"/>
    <xf numFmtId="4" fontId="29" fillId="0" borderId="0" xfId="0" applyNumberFormat="1" applyFont="1"/>
    <xf numFmtId="43" fontId="29" fillId="0" borderId="0" xfId="2" applyFont="1"/>
    <xf numFmtId="0" fontId="29" fillId="8" borderId="0" xfId="0" applyFont="1" applyFill="1"/>
    <xf numFmtId="0" fontId="35" fillId="9" borderId="0" xfId="0" applyFont="1" applyFill="1"/>
    <xf numFmtId="0" fontId="29" fillId="9" borderId="0" xfId="0" applyFont="1" applyFill="1"/>
    <xf numFmtId="0" fontId="35" fillId="5" borderId="0" xfId="0" applyFont="1" applyFill="1"/>
    <xf numFmtId="0" fontId="29" fillId="5" borderId="0" xfId="0" applyFont="1" applyFill="1"/>
    <xf numFmtId="0" fontId="4" fillId="0" borderId="1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1" xfId="0" applyFont="1" applyBorder="1" applyAlignment="1">
      <alignment horizontal="center" shrinkToFit="1"/>
    </xf>
    <xf numFmtId="166" fontId="4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10" fontId="4" fillId="0" borderId="0" xfId="1" applyNumberFormat="1" applyFont="1"/>
    <xf numFmtId="0" fontId="5" fillId="0" borderId="0" xfId="0" applyFont="1" applyAlignment="1">
      <alignment wrapText="1"/>
    </xf>
    <xf numFmtId="0" fontId="4" fillId="0" borderId="6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 indent="1"/>
    </xf>
    <xf numFmtId="43" fontId="7" fillId="0" borderId="0" xfId="2" applyFont="1" applyBorder="1"/>
    <xf numFmtId="0" fontId="4" fillId="0" borderId="0" xfId="0" applyFont="1" applyAlignment="1"/>
    <xf numFmtId="168" fontId="4" fillId="0" borderId="3" xfId="0" applyNumberFormat="1" applyFont="1" applyBorder="1" applyAlignment="1"/>
    <xf numFmtId="0" fontId="27" fillId="0" borderId="0" xfId="0" applyFont="1" applyAlignment="1"/>
    <xf numFmtId="0" fontId="12" fillId="0" borderId="0" xfId="0" applyFont="1" applyAlignment="1"/>
    <xf numFmtId="49" fontId="4" fillId="0" borderId="0" xfId="0" applyNumberFormat="1" applyFont="1" applyAlignment="1"/>
    <xf numFmtId="43" fontId="4" fillId="0" borderId="8" xfId="0" applyNumberFormat="1" applyFont="1" applyBorder="1" applyAlignment="1"/>
    <xf numFmtId="43" fontId="4" fillId="0" borderId="8" xfId="2" applyFont="1" applyBorder="1" applyAlignment="1"/>
    <xf numFmtId="43" fontId="4" fillId="0" borderId="9" xfId="0" applyNumberFormat="1" applyFont="1" applyBorder="1" applyAlignment="1"/>
    <xf numFmtId="43" fontId="4" fillId="0" borderId="9" xfId="2" applyFont="1" applyBorder="1" applyAlignment="1"/>
    <xf numFmtId="0" fontId="4" fillId="0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top"/>
    </xf>
    <xf numFmtId="22" fontId="1" fillId="0" borderId="0" xfId="0" applyNumberFormat="1" applyFont="1" applyAlignment="1">
      <alignment horizontal="center" vertical="top"/>
    </xf>
    <xf numFmtId="22" fontId="1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0" fillId="0" borderId="0" xfId="0" applyFont="1" applyAlignment="1">
      <alignment horizontal="center" vertical="center"/>
    </xf>
    <xf numFmtId="43" fontId="0" fillId="0" borderId="0" xfId="2" applyFont="1" applyAlignment="1">
      <alignment horizontal="center" vertical="center"/>
    </xf>
    <xf numFmtId="43" fontId="14" fillId="0" borderId="0" xfId="2" applyFont="1" applyAlignment="1">
      <alignment horizontal="center"/>
    </xf>
    <xf numFmtId="43" fontId="3" fillId="0" borderId="0" xfId="2" applyFont="1" applyAlignment="1">
      <alignment horizontal="center"/>
    </xf>
    <xf numFmtId="0" fontId="36" fillId="10" borderId="36" xfId="0" applyFont="1" applyFill="1" applyBorder="1" applyAlignment="1"/>
    <xf numFmtId="0" fontId="36" fillId="10" borderId="37" xfId="0" applyFont="1" applyFill="1" applyBorder="1" applyAlignment="1"/>
    <xf numFmtId="0" fontId="14" fillId="10" borderId="0" xfId="0" applyFont="1" applyFill="1" applyAlignment="1">
      <alignment horizontal="center"/>
    </xf>
    <xf numFmtId="0" fontId="0" fillId="10" borderId="0" xfId="0" applyFont="1" applyFill="1"/>
    <xf numFmtId="0" fontId="36" fillId="10" borderId="38" xfId="0" applyFont="1" applyFill="1" applyBorder="1" applyAlignment="1"/>
    <xf numFmtId="43" fontId="36" fillId="10" borderId="0" xfId="2" applyFont="1" applyFill="1" applyBorder="1" applyAlignment="1"/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/>
    </xf>
    <xf numFmtId="0" fontId="14" fillId="0" borderId="0" xfId="0" applyFont="1" applyAlignment="1">
      <alignment horizontal="center"/>
    </xf>
    <xf numFmtId="43" fontId="14" fillId="0" borderId="0" xfId="2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43" fontId="0" fillId="0" borderId="7" xfId="2" applyFont="1" applyBorder="1" applyAlignment="1">
      <alignment horizontal="center"/>
    </xf>
    <xf numFmtId="43" fontId="0" fillId="0" borderId="8" xfId="0" applyNumberFormat="1" applyFont="1" applyBorder="1" applyAlignment="1">
      <alignment horizontal="center"/>
    </xf>
    <xf numFmtId="0" fontId="0" fillId="0" borderId="7" xfId="0" applyFont="1" applyBorder="1" applyAlignment="1">
      <alignment horizontal="center" vertical="center"/>
    </xf>
    <xf numFmtId="43" fontId="0" fillId="0" borderId="0" xfId="2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43" fontId="0" fillId="0" borderId="7" xfId="2" applyFont="1" applyFill="1" applyBorder="1" applyAlignment="1">
      <alignment horizontal="center"/>
    </xf>
    <xf numFmtId="43" fontId="0" fillId="0" borderId="8" xfId="0" applyNumberFormat="1" applyFont="1" applyFill="1" applyBorder="1" applyAlignment="1">
      <alignment horizontal="center"/>
    </xf>
    <xf numFmtId="0" fontId="0" fillId="0" borderId="0" xfId="0" applyFont="1" applyFill="1"/>
    <xf numFmtId="43" fontId="0" fillId="0" borderId="0" xfId="2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/>
    </xf>
    <xf numFmtId="43" fontId="17" fillId="0" borderId="7" xfId="2" applyFont="1" applyBorder="1" applyAlignment="1">
      <alignment horizontal="center"/>
    </xf>
    <xf numFmtId="43" fontId="17" fillId="0" borderId="8" xfId="0" applyNumberFormat="1" applyFont="1" applyBorder="1" applyAlignment="1">
      <alignment horizontal="center"/>
    </xf>
    <xf numFmtId="0" fontId="17" fillId="0" borderId="7" xfId="0" applyFont="1" applyBorder="1" applyAlignment="1">
      <alignment horizontal="center" vertical="center"/>
    </xf>
    <xf numFmtId="43" fontId="17" fillId="0" borderId="0" xfId="2" applyFont="1" applyBorder="1" applyAlignment="1">
      <alignment horizontal="center" vertical="center"/>
    </xf>
    <xf numFmtId="0" fontId="36" fillId="10" borderId="39" xfId="0" applyFont="1" applyFill="1" applyBorder="1" applyAlignment="1"/>
    <xf numFmtId="0" fontId="36" fillId="10" borderId="21" xfId="0" applyFont="1" applyFill="1" applyBorder="1" applyAlignment="1"/>
    <xf numFmtId="0" fontId="36" fillId="10" borderId="40" xfId="0" applyFont="1" applyFill="1" applyBorder="1" applyAlignment="1"/>
    <xf numFmtId="43" fontId="0" fillId="0" borderId="0" xfId="0" applyNumberFormat="1" applyFont="1"/>
    <xf numFmtId="43" fontId="0" fillId="0" borderId="7" xfId="2" applyFont="1" applyBorder="1"/>
    <xf numFmtId="43" fontId="0" fillId="0" borderId="0" xfId="2" applyFont="1" applyBorder="1"/>
    <xf numFmtId="0" fontId="37" fillId="0" borderId="7" xfId="0" applyFont="1" applyBorder="1" applyAlignment="1">
      <alignment horizontal="center" vertical="center"/>
    </xf>
    <xf numFmtId="43" fontId="37" fillId="0" borderId="0" xfId="2" applyFont="1" applyBorder="1" applyAlignment="1">
      <alignment horizontal="center" vertical="center"/>
    </xf>
    <xf numFmtId="0" fontId="14" fillId="0" borderId="7" xfId="0" applyFont="1" applyBorder="1"/>
    <xf numFmtId="43" fontId="14" fillId="0" borderId="7" xfId="2" applyFont="1" applyBorder="1"/>
    <xf numFmtId="0" fontId="14" fillId="0" borderId="41" xfId="0" applyFont="1" applyBorder="1"/>
    <xf numFmtId="9" fontId="0" fillId="0" borderId="41" xfId="1" applyFont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43" fontId="30" fillId="0" borderId="7" xfId="2" applyFont="1" applyFill="1" applyBorder="1" applyAlignment="1">
      <alignment horizontal="center"/>
    </xf>
    <xf numFmtId="43" fontId="30" fillId="0" borderId="8" xfId="0" applyNumberFormat="1" applyFont="1" applyFill="1" applyBorder="1" applyAlignment="1">
      <alignment horizontal="center"/>
    </xf>
    <xf numFmtId="0" fontId="30" fillId="0" borderId="7" xfId="0" applyFont="1" applyFill="1" applyBorder="1" applyAlignment="1">
      <alignment horizontal="center" vertical="center"/>
    </xf>
    <xf numFmtId="43" fontId="30" fillId="0" borderId="0" xfId="2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0" fontId="14" fillId="0" borderId="8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43" fontId="0" fillId="0" borderId="7" xfId="2" applyFont="1" applyBorder="1" applyAlignment="1">
      <alignment vertical="center"/>
    </xf>
    <xf numFmtId="43" fontId="0" fillId="0" borderId="8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10" xfId="0" applyFont="1" applyFill="1" applyBorder="1" applyAlignment="1">
      <alignment horizontal="center" vertical="center" wrapText="1"/>
    </xf>
    <xf numFmtId="43" fontId="0" fillId="0" borderId="7" xfId="2" applyFont="1" applyFill="1" applyBorder="1" applyAlignment="1">
      <alignment vertical="center"/>
    </xf>
    <xf numFmtId="43" fontId="0" fillId="0" borderId="8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7" xfId="0" applyFont="1" applyFill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43" fontId="14" fillId="0" borderId="7" xfId="2" applyFont="1" applyBorder="1" applyAlignment="1">
      <alignment vertical="center"/>
    </xf>
    <xf numFmtId="0" fontId="14" fillId="0" borderId="41" xfId="0" applyFont="1" applyBorder="1" applyAlignment="1">
      <alignment vertical="center"/>
    </xf>
    <xf numFmtId="0" fontId="17" fillId="0" borderId="11" xfId="0" applyFont="1" applyFill="1" applyBorder="1" applyAlignment="1">
      <alignment horizontal="center" vertical="center" wrapText="1"/>
    </xf>
    <xf numFmtId="43" fontId="17" fillId="0" borderId="12" xfId="2" applyFont="1" applyFill="1" applyBorder="1" applyAlignment="1">
      <alignment vertical="center"/>
    </xf>
    <xf numFmtId="43" fontId="17" fillId="0" borderId="9" xfId="0" applyNumberFormat="1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vertical="center"/>
    </xf>
    <xf numFmtId="43" fontId="18" fillId="0" borderId="7" xfId="2" applyFont="1" applyFill="1" applyBorder="1" applyAlignment="1">
      <alignment vertical="center"/>
    </xf>
    <xf numFmtId="9" fontId="17" fillId="0" borderId="41" xfId="1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43" fontId="17" fillId="0" borderId="0" xfId="2" applyFont="1" applyFill="1" applyBorder="1" applyAlignment="1">
      <alignment horizontal="center" vertical="center"/>
    </xf>
    <xf numFmtId="0" fontId="17" fillId="4" borderId="0" xfId="0" applyFont="1" applyFill="1"/>
    <xf numFmtId="0" fontId="17" fillId="0" borderId="11" xfId="0" applyFont="1" applyBorder="1" applyAlignment="1">
      <alignment horizontal="center" vertical="center" wrapText="1"/>
    </xf>
    <xf numFmtId="43" fontId="17" fillId="0" borderId="12" xfId="2" applyFont="1" applyBorder="1" applyAlignment="1">
      <alignment vertical="center"/>
    </xf>
    <xf numFmtId="43" fontId="17" fillId="0" borderId="9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vertical="center"/>
    </xf>
    <xf numFmtId="43" fontId="18" fillId="0" borderId="7" xfId="2" applyFont="1" applyBorder="1" applyAlignment="1">
      <alignment vertical="center"/>
    </xf>
    <xf numFmtId="9" fontId="17" fillId="0" borderId="41" xfId="1" applyFont="1" applyBorder="1" applyAlignment="1">
      <alignment horizontal="center" vertical="center"/>
    </xf>
    <xf numFmtId="0" fontId="14" fillId="0" borderId="0" xfId="0" applyFont="1" applyBorder="1"/>
    <xf numFmtId="0" fontId="0" fillId="0" borderId="0" xfId="0" applyFont="1" applyBorder="1"/>
    <xf numFmtId="0" fontId="0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3" fontId="0" fillId="0" borderId="0" xfId="0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43" fontId="0" fillId="0" borderId="0" xfId="0" applyNumberFormat="1" applyFill="1" applyAlignment="1">
      <alignment horizontal="center"/>
    </xf>
    <xf numFmtId="0" fontId="0" fillId="0" borderId="0" xfId="0" applyFont="1" applyFill="1" applyAlignment="1">
      <alignment horizontal="center"/>
    </xf>
    <xf numFmtId="43" fontId="0" fillId="0" borderId="0" xfId="2" applyFont="1" applyFill="1" applyAlignment="1">
      <alignment horizontal="center"/>
    </xf>
    <xf numFmtId="43" fontId="0" fillId="0" borderId="0" xfId="0" applyNumberFormat="1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4" fontId="30" fillId="0" borderId="0" xfId="0" applyNumberFormat="1" applyFont="1" applyFill="1" applyAlignment="1">
      <alignment horizontal="center"/>
    </xf>
    <xf numFmtId="43" fontId="30" fillId="0" borderId="0" xfId="2" applyFont="1" applyFill="1" applyAlignment="1">
      <alignment horizontal="center"/>
    </xf>
    <xf numFmtId="176" fontId="0" fillId="0" borderId="0" xfId="0" applyNumberFormat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43" fontId="4" fillId="0" borderId="1" xfId="2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43" fontId="4" fillId="0" borderId="14" xfId="2" applyFont="1" applyBorder="1" applyAlignment="1">
      <alignment horizontal="center"/>
    </xf>
    <xf numFmtId="43" fontId="4" fillId="0" borderId="0" xfId="2" applyFont="1" applyFill="1" applyBorder="1" applyAlignment="1">
      <alignment horizontal="center"/>
    </xf>
    <xf numFmtId="43" fontId="7" fillId="0" borderId="7" xfId="2" applyFont="1" applyBorder="1"/>
    <xf numFmtId="43" fontId="7" fillId="2" borderId="26" xfId="2" applyFont="1" applyFill="1" applyBorder="1" applyAlignment="1">
      <alignment horizontal="right"/>
    </xf>
    <xf numFmtId="0" fontId="30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0" fillId="0" borderId="0" xfId="0" applyFont="1" applyProtection="1">
      <protection hidden="1"/>
    </xf>
    <xf numFmtId="176" fontId="30" fillId="0" borderId="0" xfId="0" applyNumberFormat="1" applyFont="1" applyFill="1"/>
    <xf numFmtId="0" fontId="38" fillId="0" borderId="0" xfId="0" applyFont="1"/>
    <xf numFmtId="0" fontId="39" fillId="0" borderId="0" xfId="0" applyFont="1" applyAlignment="1">
      <alignment horizontal="left" indent="1"/>
    </xf>
    <xf numFmtId="0" fontId="39" fillId="0" borderId="2" xfId="0" applyFont="1" applyBorder="1" applyAlignment="1">
      <alignment horizontal="left" indent="2"/>
    </xf>
    <xf numFmtId="0" fontId="39" fillId="0" borderId="0" xfId="0" applyFont="1" applyBorder="1"/>
    <xf numFmtId="43" fontId="39" fillId="0" borderId="3" xfId="2" applyFont="1" applyBorder="1" applyAlignment="1">
      <alignment horizontal="right"/>
    </xf>
    <xf numFmtId="0" fontId="7" fillId="0" borderId="0" xfId="0" applyFont="1" applyAlignment="1">
      <alignment horizontal="left" indent="1"/>
    </xf>
    <xf numFmtId="0" fontId="40" fillId="0" borderId="0" xfId="0" applyFont="1" applyBorder="1"/>
    <xf numFmtId="43" fontId="40" fillId="0" borderId="3" xfId="2" applyFont="1" applyBorder="1" applyAlignment="1"/>
    <xf numFmtId="0" fontId="39" fillId="0" borderId="0" xfId="0" applyFont="1" applyAlignment="1">
      <alignment horizontal="left" wrapText="1"/>
    </xf>
    <xf numFmtId="175" fontId="41" fillId="0" borderId="14" xfId="0" applyNumberFormat="1" applyFont="1" applyBorder="1"/>
    <xf numFmtId="0" fontId="11" fillId="0" borderId="0" xfId="0" applyFont="1" applyAlignment="1">
      <alignment horizontal="left" indent="1"/>
    </xf>
    <xf numFmtId="43" fontId="4" fillId="0" borderId="0" xfId="0" applyNumberFormat="1" applyFont="1" applyAlignment="1">
      <alignment horizontal="left" indent="1"/>
    </xf>
    <xf numFmtId="43" fontId="11" fillId="0" borderId="0" xfId="0" applyNumberFormat="1" applyFont="1" applyAlignment="1">
      <alignment horizontal="left" indent="1"/>
    </xf>
    <xf numFmtId="43" fontId="7" fillId="0" borderId="0" xfId="0" applyNumberFormat="1" applyFont="1" applyAlignment="1">
      <alignment horizontal="left" indent="1"/>
    </xf>
    <xf numFmtId="0" fontId="10" fillId="0" borderId="0" xfId="0" applyFont="1" applyAlignment="1">
      <alignment horizontal="left" indent="1"/>
    </xf>
    <xf numFmtId="43" fontId="39" fillId="0" borderId="3" xfId="2" applyFont="1" applyBorder="1" applyAlignment="1"/>
    <xf numFmtId="0" fontId="4" fillId="0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170" fontId="4" fillId="0" borderId="0" xfId="0" applyNumberFormat="1" applyFont="1" applyBorder="1" applyAlignment="1">
      <alignment horizontal="center"/>
    </xf>
    <xf numFmtId="0" fontId="39" fillId="0" borderId="0" xfId="0" applyFont="1" applyAlignment="1">
      <alignment horizontal="left" wrapText="1"/>
    </xf>
    <xf numFmtId="43" fontId="4" fillId="0" borderId="42" xfId="0" applyNumberFormat="1" applyFont="1" applyBorder="1"/>
    <xf numFmtId="173" fontId="4" fillId="0" borderId="0" xfId="3" applyNumberFormat="1" applyFont="1"/>
    <xf numFmtId="170" fontId="4" fillId="0" borderId="43" xfId="0" applyNumberFormat="1" applyFont="1" applyBorder="1" applyAlignment="1">
      <alignment horizontal="center"/>
    </xf>
    <xf numFmtId="43" fontId="4" fillId="0" borderId="42" xfId="2" applyFont="1" applyBorder="1" applyAlignment="1"/>
    <xf numFmtId="0" fontId="17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43" fontId="4" fillId="0" borderId="1" xfId="2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43" fontId="7" fillId="0" borderId="7" xfId="2" applyFont="1" applyBorder="1" applyAlignment="1">
      <alignment horizontal="center"/>
    </xf>
    <xf numFmtId="0" fontId="14" fillId="0" borderId="0" xfId="0" applyFont="1" applyFill="1" applyAlignment="1">
      <alignment horizontal="center"/>
    </xf>
    <xf numFmtId="3" fontId="14" fillId="0" borderId="0" xfId="0" applyNumberFormat="1" applyFont="1" applyFill="1" applyAlignment="1">
      <alignment horizontal="center"/>
    </xf>
    <xf numFmtId="43" fontId="14" fillId="0" borderId="0" xfId="2" applyFont="1" applyFill="1" applyAlignment="1">
      <alignment horizontal="center"/>
    </xf>
    <xf numFmtId="4" fontId="0" fillId="0" borderId="0" xfId="0" applyNumberFormat="1" applyFont="1" applyFill="1" applyAlignment="1">
      <alignment horizontal="center"/>
    </xf>
    <xf numFmtId="0" fontId="0" fillId="0" borderId="14" xfId="0" applyFill="1" applyBorder="1" applyAlignment="1">
      <alignment horizontal="center"/>
    </xf>
    <xf numFmtId="0" fontId="30" fillId="0" borderId="14" xfId="0" applyFont="1" applyFill="1" applyBorder="1" applyAlignment="1">
      <alignment horizontal="center"/>
    </xf>
    <xf numFmtId="4" fontId="30" fillId="0" borderId="14" xfId="0" applyNumberFormat="1" applyFont="1" applyFill="1" applyBorder="1" applyAlignment="1">
      <alignment horizontal="center"/>
    </xf>
    <xf numFmtId="43" fontId="30" fillId="0" borderId="14" xfId="2" applyFont="1" applyFill="1" applyBorder="1" applyAlignment="1">
      <alignment horizontal="center"/>
    </xf>
    <xf numFmtId="43" fontId="0" fillId="0" borderId="14" xfId="2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170" fontId="4" fillId="0" borderId="10" xfId="0" applyNumberFormat="1" applyFont="1" applyBorder="1" applyAlignment="1">
      <alignment horizontal="center"/>
    </xf>
    <xf numFmtId="0" fontId="5" fillId="0" borderId="0" xfId="0" applyFont="1" applyAlignment="1">
      <alignment horizontal="left" wrapText="1" indent="1"/>
    </xf>
    <xf numFmtId="0" fontId="39" fillId="0" borderId="0" xfId="0" applyFont="1" applyAlignment="1">
      <alignment horizontal="left" wrapText="1" indent="1"/>
    </xf>
    <xf numFmtId="43" fontId="7" fillId="0" borderId="1" xfId="2" applyFont="1" applyBorder="1"/>
    <xf numFmtId="43" fontId="25" fillId="0" borderId="0" xfId="2" applyFont="1" applyBorder="1"/>
    <xf numFmtId="43" fontId="25" fillId="0" borderId="0" xfId="2" applyNumberFormat="1" applyFont="1" applyBorder="1"/>
    <xf numFmtId="43" fontId="25" fillId="0" borderId="1" xfId="2" applyFont="1" applyBorder="1"/>
    <xf numFmtId="0" fontId="25" fillId="0" borderId="0" xfId="0" applyFont="1" applyAlignment="1">
      <alignment horizontal="left" wrapText="1"/>
    </xf>
    <xf numFmtId="0" fontId="39" fillId="0" borderId="0" xfId="0" applyFont="1" applyAlignment="1">
      <alignment horizontal="left" wrapText="1"/>
    </xf>
    <xf numFmtId="0" fontId="39" fillId="0" borderId="0" xfId="0" applyFont="1" applyAlignment="1">
      <alignment horizontal="left" wrapText="1"/>
    </xf>
    <xf numFmtId="0" fontId="39" fillId="0" borderId="0" xfId="0" applyFont="1" applyAlignment="1">
      <alignment horizontal="left"/>
    </xf>
    <xf numFmtId="0" fontId="39" fillId="0" borderId="0" xfId="0" applyFont="1" applyAlignment="1"/>
    <xf numFmtId="0" fontId="13" fillId="0" borderId="0" xfId="0" applyFont="1" applyAlignment="1">
      <alignment horizontal="left" wrapText="1" inden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28" fillId="10" borderId="36" xfId="0" applyFont="1" applyFill="1" applyBorder="1" applyAlignment="1">
      <alignment horizontal="center" wrapText="1"/>
    </xf>
    <xf numFmtId="0" fontId="28" fillId="10" borderId="38" xfId="0" applyFont="1" applyFill="1" applyBorder="1" applyAlignment="1">
      <alignment horizontal="center" wrapText="1"/>
    </xf>
    <xf numFmtId="0" fontId="14" fillId="0" borderId="0" xfId="0" applyFont="1" applyAlignment="1">
      <alignment horizontal="center"/>
    </xf>
    <xf numFmtId="177" fontId="3" fillId="0" borderId="0" xfId="0" applyNumberFormat="1" applyFont="1" applyAlignment="1">
      <alignment horizontal="center" vertical="center"/>
    </xf>
    <xf numFmtId="0" fontId="36" fillId="10" borderId="2" xfId="0" applyFont="1" applyFill="1" applyBorder="1" applyAlignment="1">
      <alignment horizontal="left"/>
    </xf>
    <xf numFmtId="0" fontId="36" fillId="10" borderId="0" xfId="0" applyFont="1" applyFill="1" applyBorder="1" applyAlignment="1">
      <alignment horizontal="left"/>
    </xf>
    <xf numFmtId="0" fontId="36" fillId="10" borderId="3" xfId="0" applyFont="1" applyFill="1" applyBorder="1" applyAlignment="1">
      <alignment horizontal="left"/>
    </xf>
    <xf numFmtId="0" fontId="6" fillId="10" borderId="44" xfId="0" applyFont="1" applyFill="1" applyBorder="1" applyAlignment="1">
      <alignment horizontal="center"/>
    </xf>
    <xf numFmtId="0" fontId="6" fillId="10" borderId="14" xfId="0" applyFont="1" applyFill="1" applyBorder="1" applyAlignment="1">
      <alignment horizontal="center"/>
    </xf>
    <xf numFmtId="0" fontId="6" fillId="10" borderId="45" xfId="0" applyFont="1" applyFill="1" applyBorder="1" applyAlignment="1">
      <alignment horizontal="center"/>
    </xf>
    <xf numFmtId="9" fontId="4" fillId="0" borderId="13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1" xfId="0" applyFont="1" applyBorder="1" applyAlignment="1">
      <alignment horizontal="center" shrinkToFit="1"/>
    </xf>
    <xf numFmtId="166" fontId="4" fillId="0" borderId="1" xfId="0" applyNumberFormat="1" applyFont="1" applyBorder="1" applyAlignment="1">
      <alignment horizontal="center"/>
    </xf>
    <xf numFmtId="43" fontId="4" fillId="0" borderId="1" xfId="2" applyFont="1" applyBorder="1" applyAlignment="1">
      <alignment horizontal="center"/>
    </xf>
    <xf numFmtId="0" fontId="39" fillId="0" borderId="0" xfId="0" applyFont="1" applyAlignment="1">
      <alignment horizontal="left" wrapText="1"/>
    </xf>
    <xf numFmtId="0" fontId="6" fillId="10" borderId="0" xfId="0" applyFont="1" applyFill="1" applyAlignment="1">
      <alignment horizontal="center"/>
    </xf>
    <xf numFmtId="0" fontId="6" fillId="10" borderId="0" xfId="0" quotePrefix="1" applyFont="1" applyFill="1" applyAlignment="1">
      <alignment horizontal="center"/>
    </xf>
    <xf numFmtId="0" fontId="5" fillId="0" borderId="0" xfId="0" applyFont="1" applyAlignment="1">
      <alignment wrapText="1"/>
    </xf>
    <xf numFmtId="0" fontId="4" fillId="0" borderId="6" xfId="0" applyFont="1" applyBorder="1" applyAlignment="1">
      <alignment horizontal="center"/>
    </xf>
    <xf numFmtId="41" fontId="4" fillId="0" borderId="0" xfId="3" applyFont="1" applyAlignment="1">
      <alignment horizontal="center"/>
    </xf>
    <xf numFmtId="0" fontId="6" fillId="10" borderId="18" xfId="0" applyFont="1" applyFill="1" applyBorder="1" applyAlignment="1">
      <alignment horizontal="center"/>
    </xf>
    <xf numFmtId="0" fontId="6" fillId="10" borderId="19" xfId="0" applyFont="1" applyFill="1" applyBorder="1" applyAlignment="1">
      <alignment horizontal="center"/>
    </xf>
    <xf numFmtId="0" fontId="6" fillId="10" borderId="20" xfId="0" applyFont="1" applyFill="1" applyBorder="1" applyAlignment="1">
      <alignment horizontal="center"/>
    </xf>
    <xf numFmtId="0" fontId="7" fillId="0" borderId="2" xfId="0" applyFont="1" applyBorder="1" applyAlignment="1">
      <alignment horizontal="center" shrinkToFit="1"/>
    </xf>
    <xf numFmtId="0" fontId="7" fillId="0" borderId="0" xfId="0" applyFont="1" applyBorder="1" applyAlignment="1">
      <alignment horizontal="center" shrinkToFit="1"/>
    </xf>
    <xf numFmtId="0" fontId="7" fillId="0" borderId="3" xfId="0" applyFont="1" applyBorder="1" applyAlignment="1">
      <alignment horizontal="center" shrinkToFit="1"/>
    </xf>
    <xf numFmtId="0" fontId="6" fillId="10" borderId="46" xfId="0" applyFont="1" applyFill="1" applyBorder="1" applyAlignment="1">
      <alignment horizontal="center"/>
    </xf>
    <xf numFmtId="0" fontId="6" fillId="10" borderId="47" xfId="0" applyFont="1" applyFill="1" applyBorder="1" applyAlignment="1">
      <alignment horizontal="center"/>
    </xf>
    <xf numFmtId="0" fontId="6" fillId="10" borderId="48" xfId="0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170" fontId="4" fillId="0" borderId="11" xfId="0" applyNumberFormat="1" applyFont="1" applyBorder="1" applyAlignment="1">
      <alignment horizontal="center"/>
    </xf>
    <xf numFmtId="170" fontId="4" fillId="0" borderId="12" xfId="0" applyNumberFormat="1" applyFont="1" applyBorder="1" applyAlignment="1">
      <alignment horizontal="center"/>
    </xf>
    <xf numFmtId="170" fontId="4" fillId="0" borderId="10" xfId="0" applyNumberFormat="1" applyFont="1" applyBorder="1" applyAlignment="1">
      <alignment horizontal="center"/>
    </xf>
    <xf numFmtId="170" fontId="4" fillId="0" borderId="7" xfId="0" applyNumberFormat="1" applyFont="1" applyBorder="1" applyAlignment="1">
      <alignment horizontal="center"/>
    </xf>
    <xf numFmtId="170" fontId="4" fillId="0" borderId="0" xfId="0" applyNumberFormat="1" applyFont="1" applyBorder="1" applyAlignment="1">
      <alignment horizontal="center"/>
    </xf>
    <xf numFmtId="170" fontId="4" fillId="0" borderId="39" xfId="0" applyNumberFormat="1" applyFont="1" applyBorder="1" applyAlignment="1">
      <alignment horizontal="center"/>
    </xf>
    <xf numFmtId="170" fontId="4" fillId="0" borderId="49" xfId="0" applyNumberFormat="1" applyFont="1" applyBorder="1" applyAlignment="1">
      <alignment horizontal="center"/>
    </xf>
    <xf numFmtId="170" fontId="4" fillId="0" borderId="43" xfId="0" applyNumberFormat="1" applyFont="1" applyBorder="1" applyAlignment="1">
      <alignment horizontal="center"/>
    </xf>
    <xf numFmtId="170" fontId="4" fillId="0" borderId="50" xfId="0" applyNumberFormat="1" applyFont="1" applyBorder="1" applyAlignment="1">
      <alignment horizontal="center"/>
    </xf>
    <xf numFmtId="0" fontId="39" fillId="0" borderId="0" xfId="0" applyFont="1" applyAlignment="1">
      <alignment horizontal="left" wrapText="1" indent="1"/>
    </xf>
    <xf numFmtId="0" fontId="5" fillId="0" borderId="0" xfId="0" applyFont="1" applyAlignment="1">
      <alignment horizontal="left" wrapText="1" indent="1"/>
    </xf>
    <xf numFmtId="43" fontId="4" fillId="0" borderId="0" xfId="2" applyFont="1" applyAlignment="1">
      <alignment horizontal="center"/>
    </xf>
    <xf numFmtId="0" fontId="6" fillId="10" borderId="46" xfId="0" applyNumberFormat="1" applyFont="1" applyFill="1" applyBorder="1" applyAlignment="1">
      <alignment horizontal="center"/>
    </xf>
    <xf numFmtId="0" fontId="6" fillId="10" borderId="48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 wrapText="1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</cellXfs>
  <cellStyles count="17">
    <cellStyle name="Comma" xfId="2" builtinId="3"/>
    <cellStyle name="Comma [0]" xfId="3" builtinId="6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  <cellStyle name="Normal 5" xfId="4"/>
    <cellStyle name="Percent" xfId="1" builtinId="5"/>
  </cellStyles>
  <dxfs count="22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335294</xdr:colOff>
      <xdr:row>0</xdr:row>
      <xdr:rowOff>146655</xdr:rowOff>
    </xdr:from>
    <xdr:to>
      <xdr:col>6</xdr:col>
      <xdr:colOff>1061356</xdr:colOff>
      <xdr:row>8</xdr:row>
      <xdr:rowOff>111621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4650" y="142875"/>
          <a:ext cx="3086100" cy="1409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698500</xdr:colOff>
      <xdr:row>4</xdr:row>
      <xdr:rowOff>88900</xdr:rowOff>
    </xdr:from>
    <xdr:to>
      <xdr:col>6</xdr:col>
      <xdr:colOff>542967</xdr:colOff>
      <xdr:row>12</xdr:row>
      <xdr:rowOff>109059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8200" y="927100"/>
          <a:ext cx="3171867" cy="14679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163286</xdr:colOff>
      <xdr:row>4</xdr:row>
      <xdr:rowOff>161812</xdr:rowOff>
    </xdr:from>
    <xdr:to>
      <xdr:col>7</xdr:col>
      <xdr:colOff>1085852</xdr:colOff>
      <xdr:row>10</xdr:row>
      <xdr:rowOff>4492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962025"/>
          <a:ext cx="2695575" cy="12096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3</xdr:row>
      <xdr:rowOff>215900</xdr:rowOff>
    </xdr:from>
    <xdr:to>
      <xdr:col>6</xdr:col>
      <xdr:colOff>377867</xdr:colOff>
      <xdr:row>12</xdr:row>
      <xdr:rowOff>228600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952500"/>
          <a:ext cx="3171867" cy="1460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368300</xdr:colOff>
      <xdr:row>4</xdr:row>
      <xdr:rowOff>0</xdr:rowOff>
    </xdr:from>
    <xdr:to>
      <xdr:col>8</xdr:col>
      <xdr:colOff>352467</xdr:colOff>
      <xdr:row>12</xdr:row>
      <xdr:rowOff>12700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9400" y="977900"/>
          <a:ext cx="3171867" cy="1460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1061357</xdr:colOff>
      <xdr:row>4</xdr:row>
      <xdr:rowOff>99786</xdr:rowOff>
    </xdr:from>
    <xdr:to>
      <xdr:col>8</xdr:col>
      <xdr:colOff>128662</xdr:colOff>
      <xdr:row>10</xdr:row>
      <xdr:rowOff>178323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5025" y="895350"/>
          <a:ext cx="2619375" cy="1219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1104445</xdr:colOff>
      <xdr:row>3</xdr:row>
      <xdr:rowOff>91167</xdr:rowOff>
    </xdr:from>
    <xdr:to>
      <xdr:col>8</xdr:col>
      <xdr:colOff>134710</xdr:colOff>
      <xdr:row>15</xdr:row>
      <xdr:rowOff>169250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4100" y="666750"/>
          <a:ext cx="2733675" cy="1219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4</xdr:row>
      <xdr:rowOff>38100</xdr:rowOff>
    </xdr:from>
    <xdr:to>
      <xdr:col>7</xdr:col>
      <xdr:colOff>701675</xdr:colOff>
      <xdr:row>12</xdr:row>
      <xdr:rowOff>104391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838200"/>
          <a:ext cx="2819400" cy="121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1091455</xdr:colOff>
      <xdr:row>1</xdr:row>
      <xdr:rowOff>234950</xdr:rowOff>
    </xdr:from>
    <xdr:to>
      <xdr:col>5</xdr:col>
      <xdr:colOff>1113365</xdr:colOff>
      <xdr:row>6</xdr:row>
      <xdr:rowOff>187705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3775" y="352425"/>
          <a:ext cx="2486025" cy="1104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1091455</xdr:colOff>
      <xdr:row>1</xdr:row>
      <xdr:rowOff>234950</xdr:rowOff>
    </xdr:from>
    <xdr:to>
      <xdr:col>5</xdr:col>
      <xdr:colOff>1113365</xdr:colOff>
      <xdr:row>6</xdr:row>
      <xdr:rowOff>187705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3775" y="352425"/>
          <a:ext cx="2486025" cy="1104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647700</xdr:colOff>
      <xdr:row>4</xdr:row>
      <xdr:rowOff>127000</xdr:rowOff>
    </xdr:from>
    <xdr:to>
      <xdr:col>6</xdr:col>
      <xdr:colOff>907</xdr:colOff>
      <xdr:row>9</xdr:row>
      <xdr:rowOff>205537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923925"/>
          <a:ext cx="2676525" cy="1219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1095333</xdr:colOff>
      <xdr:row>3</xdr:row>
      <xdr:rowOff>177140</xdr:rowOff>
    </xdr:from>
    <xdr:to>
      <xdr:col>6</xdr:col>
      <xdr:colOff>177800</xdr:colOff>
      <xdr:row>11</xdr:row>
      <xdr:rowOff>197299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15033" y="774040"/>
          <a:ext cx="3171867" cy="1467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723900</xdr:colOff>
      <xdr:row>2</xdr:row>
      <xdr:rowOff>177800</xdr:rowOff>
    </xdr:from>
    <xdr:to>
      <xdr:col>5</xdr:col>
      <xdr:colOff>1711367</xdr:colOff>
      <xdr:row>10</xdr:row>
      <xdr:rowOff>197959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8200" y="673100"/>
          <a:ext cx="3171867" cy="1467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901700</xdr:colOff>
      <xdr:row>2</xdr:row>
      <xdr:rowOff>190500</xdr:rowOff>
    </xdr:from>
    <xdr:to>
      <xdr:col>8</xdr:col>
      <xdr:colOff>263567</xdr:colOff>
      <xdr:row>10</xdr:row>
      <xdr:rowOff>210659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7900" y="685800"/>
          <a:ext cx="3171867" cy="14679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3</xdr:row>
      <xdr:rowOff>190500</xdr:rowOff>
    </xdr:from>
    <xdr:to>
      <xdr:col>8</xdr:col>
      <xdr:colOff>288967</xdr:colOff>
      <xdr:row>11</xdr:row>
      <xdr:rowOff>210659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7800" y="927100"/>
          <a:ext cx="3171867" cy="14679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787400</xdr:colOff>
      <xdr:row>3</xdr:row>
      <xdr:rowOff>127000</xdr:rowOff>
    </xdr:from>
    <xdr:to>
      <xdr:col>8</xdr:col>
      <xdr:colOff>200067</xdr:colOff>
      <xdr:row>11</xdr:row>
      <xdr:rowOff>147159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9000" y="863600"/>
          <a:ext cx="3171867" cy="1467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linvestcity-my.sharepoint.com/personal/pauline_regine_filinvestcity_com/Documents/1%20-%20SALES/PAYMENT%20TEMPLATE/TEMPLATE/Brentville%20ver%2010.21.19%20revised%20-%20updated%20OPEX_FOR%20PAYMENT%20TEMPLATE/Meridien%20Financials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linvestcity-my.sharepoint.com/personal/pauline_regine_filinvestcity_com/Documents/1%20-%20SALES/PAYMENT%20TEMPLATE/TEMPLATE/Brentville%20ver%2010.21.19%20revised%20-%20updated%20OPEX_FOR%20PAYMENT%20TEMPLATE/Woodmore%20Spring%20Financials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ProminenceII_2019oc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ilinvestcity-my.sharepoint.com/Users/pauliner/OneDrive/FINANCIALS/Brentville%20New/Arborage%20Financial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SunshinePlace_2019oc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WoodmoreSpring_2019oc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Westparc_2019oc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3%20-%20Financials%20Updated/For%20Price%20Increase_Data%20Control/October%202019%20Price%20Increase/PricingParameter_Brentville-TheMeridien_2019oc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iner/Documents/9%20-%20Auction/AUCTION%20DEDUC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Assump"/>
      <sheetName val="II. Construction and Loans"/>
      <sheetName val="III. Vat Sched"/>
      <sheetName val="IV. Collection Sched"/>
      <sheetName val="V.a IS | CF sum"/>
      <sheetName val="V.b IS | CF details"/>
      <sheetName val="VI. PDMC"/>
      <sheetName val="1- Base Price"/>
      <sheetName val="2 - Parameters"/>
      <sheetName val="3- Unit Pricing"/>
      <sheetName val="ANALYSIS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W14" t="str">
            <v>B2-L1</v>
          </cell>
          <cell r="DY14">
            <v>32304420</v>
          </cell>
        </row>
        <row r="15">
          <cell r="DW15" t="str">
            <v>B2-L2</v>
          </cell>
          <cell r="DY15">
            <v>29957400</v>
          </cell>
        </row>
        <row r="16">
          <cell r="DW16" t="str">
            <v>B2-L5</v>
          </cell>
          <cell r="DY16">
            <v>27769500</v>
          </cell>
        </row>
        <row r="17">
          <cell r="DW17" t="str">
            <v>B2-L6</v>
          </cell>
          <cell r="DY17">
            <v>43178130</v>
          </cell>
        </row>
        <row r="18">
          <cell r="DW18" t="str">
            <v>B2-L7</v>
          </cell>
          <cell r="DY18">
            <v>42797160</v>
          </cell>
        </row>
        <row r="19">
          <cell r="DW19" t="str">
            <v>B2-L8</v>
          </cell>
          <cell r="DY19">
            <v>44885610</v>
          </cell>
        </row>
        <row r="20">
          <cell r="DW20" t="str">
            <v>B2-L9</v>
          </cell>
          <cell r="DY20">
            <v>44798400</v>
          </cell>
        </row>
        <row r="21">
          <cell r="DW21" t="str">
            <v>B2-L11</v>
          </cell>
          <cell r="DY21">
            <v>39740220</v>
          </cell>
        </row>
        <row r="22">
          <cell r="DW22" t="str">
            <v>B2-L12</v>
          </cell>
          <cell r="DY22">
            <v>53794800</v>
          </cell>
        </row>
        <row r="23">
          <cell r="DW23" t="str">
            <v>B2-L13</v>
          </cell>
          <cell r="DY23">
            <v>46063710</v>
          </cell>
        </row>
        <row r="24">
          <cell r="DW24" t="str">
            <v>B2-L14</v>
          </cell>
          <cell r="DY24">
            <v>35443980</v>
          </cell>
        </row>
        <row r="25">
          <cell r="DW25" t="str">
            <v>B2-L15</v>
          </cell>
          <cell r="DY25">
            <v>28274400</v>
          </cell>
        </row>
        <row r="26">
          <cell r="DW26" t="str">
            <v>B2-L16</v>
          </cell>
          <cell r="DY26">
            <v>34873290</v>
          </cell>
        </row>
        <row r="27">
          <cell r="DW27" t="str">
            <v>B2A-L1</v>
          </cell>
          <cell r="DY27">
            <v>30110400</v>
          </cell>
        </row>
        <row r="28">
          <cell r="DW28" t="str">
            <v>B2A-L2</v>
          </cell>
          <cell r="DY28">
            <v>35141040</v>
          </cell>
        </row>
        <row r="29">
          <cell r="DW29" t="str">
            <v>B3-L1</v>
          </cell>
          <cell r="DY29">
            <v>33641640</v>
          </cell>
        </row>
        <row r="30">
          <cell r="DW30" t="str">
            <v>B3-L2</v>
          </cell>
          <cell r="DY30">
            <v>27601200</v>
          </cell>
        </row>
        <row r="31">
          <cell r="DW31" t="str">
            <v>B3-L3</v>
          </cell>
          <cell r="DY31">
            <v>23990400</v>
          </cell>
        </row>
        <row r="32">
          <cell r="DW32" t="str">
            <v>B3-L4</v>
          </cell>
          <cell r="DY32">
            <v>25704000</v>
          </cell>
        </row>
        <row r="33">
          <cell r="DW33" t="str">
            <v>B3-L5</v>
          </cell>
          <cell r="DY33">
            <v>26622000</v>
          </cell>
        </row>
        <row r="34">
          <cell r="DW34" t="str">
            <v>B3-L6</v>
          </cell>
          <cell r="DY34">
            <v>26622000</v>
          </cell>
        </row>
        <row r="35">
          <cell r="DW35" t="str">
            <v>B3-L7</v>
          </cell>
          <cell r="DY35">
            <v>26591400</v>
          </cell>
        </row>
        <row r="36">
          <cell r="DW36" t="str">
            <v>B3-L8</v>
          </cell>
          <cell r="DY36">
            <v>25734600</v>
          </cell>
        </row>
        <row r="37">
          <cell r="DW37" t="str">
            <v>B4-L1</v>
          </cell>
          <cell r="DY37">
            <v>31262490</v>
          </cell>
        </row>
        <row r="38">
          <cell r="DW38" t="str">
            <v>B4-L2</v>
          </cell>
          <cell r="DY38">
            <v>41089680</v>
          </cell>
        </row>
        <row r="39">
          <cell r="DW39" t="str">
            <v>B4-L3</v>
          </cell>
          <cell r="DY39">
            <v>34112880</v>
          </cell>
        </row>
        <row r="40">
          <cell r="DW40" t="str">
            <v>B4-L4</v>
          </cell>
          <cell r="DY40">
            <v>31441500</v>
          </cell>
        </row>
        <row r="41">
          <cell r="DW41" t="str">
            <v>B5-L1</v>
          </cell>
          <cell r="DY41">
            <v>36386460</v>
          </cell>
        </row>
        <row r="42">
          <cell r="DW42" t="str">
            <v>B5-L2</v>
          </cell>
          <cell r="DY42">
            <v>28121400</v>
          </cell>
        </row>
        <row r="43">
          <cell r="DW43" t="str">
            <v>B5-L3</v>
          </cell>
          <cell r="DY43">
            <v>24602400</v>
          </cell>
        </row>
        <row r="44">
          <cell r="DW44" t="str">
            <v>B5-L4</v>
          </cell>
          <cell r="DY44">
            <v>24449400</v>
          </cell>
        </row>
        <row r="45">
          <cell r="DW45" t="str">
            <v>B5-L5</v>
          </cell>
          <cell r="DY45">
            <v>24847200</v>
          </cell>
        </row>
        <row r="46">
          <cell r="DW46" t="str">
            <v>B5-L6</v>
          </cell>
          <cell r="DY46">
            <v>28750230</v>
          </cell>
        </row>
        <row r="47">
          <cell r="DW47" t="str">
            <v>B5-L7</v>
          </cell>
          <cell r="DY47">
            <v>29665170</v>
          </cell>
        </row>
        <row r="48">
          <cell r="DW48" t="str">
            <v>B5-L8</v>
          </cell>
          <cell r="DY48">
            <v>29876310</v>
          </cell>
        </row>
        <row r="49">
          <cell r="DW49" t="str">
            <v>B5-L9</v>
          </cell>
          <cell r="DY49">
            <v>29841120</v>
          </cell>
        </row>
        <row r="50">
          <cell r="DW50" t="str">
            <v>B5-L10</v>
          </cell>
          <cell r="DY50">
            <v>29172510</v>
          </cell>
        </row>
        <row r="51">
          <cell r="DW51" t="str">
            <v>B5-L11</v>
          </cell>
          <cell r="DY51">
            <v>28139760</v>
          </cell>
        </row>
        <row r="52">
          <cell r="DW52" t="str">
            <v>B5-L12</v>
          </cell>
          <cell r="DY52">
            <v>30394980</v>
          </cell>
        </row>
        <row r="53">
          <cell r="DW53" t="str">
            <v>B5-L13</v>
          </cell>
          <cell r="DY53">
            <v>38923200</v>
          </cell>
        </row>
        <row r="54">
          <cell r="DW54" t="str">
            <v>B5-L14</v>
          </cell>
          <cell r="DY54">
            <v>35214480</v>
          </cell>
        </row>
        <row r="55">
          <cell r="DW55" t="str">
            <v>B5-L15</v>
          </cell>
          <cell r="DY55">
            <v>30587760</v>
          </cell>
        </row>
        <row r="56">
          <cell r="DW56" t="str">
            <v>B5-L16</v>
          </cell>
          <cell r="DY56">
            <v>30408750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Assump"/>
      <sheetName val="II. Construction and Loans"/>
      <sheetName val="III. Vat Sched"/>
      <sheetName val="IV. Collection Sched"/>
      <sheetName val="V.a IS | CF sum"/>
      <sheetName val="V.b IS | CF details"/>
      <sheetName val="VI. PDMC"/>
      <sheetName val="1- Base Price"/>
      <sheetName val="2 - Parameters"/>
      <sheetName val="3- Unit Pricing"/>
      <sheetName val="ANALYSIS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V14" t="str">
            <v>B2-L1</v>
          </cell>
          <cell r="DY14">
            <v>24962900</v>
          </cell>
        </row>
        <row r="15">
          <cell r="DV15" t="str">
            <v>B3-L2</v>
          </cell>
          <cell r="DY15">
            <v>18734100</v>
          </cell>
        </row>
        <row r="16">
          <cell r="DV16" t="str">
            <v>B3-L3</v>
          </cell>
          <cell r="DY16">
            <v>23539460</v>
          </cell>
        </row>
        <row r="17">
          <cell r="DV17" t="str">
            <v>B3-L4</v>
          </cell>
          <cell r="DY17">
            <v>15223680</v>
          </cell>
        </row>
        <row r="18">
          <cell r="DV18" t="str">
            <v>B3-L5</v>
          </cell>
          <cell r="DY18">
            <v>14840250</v>
          </cell>
        </row>
        <row r="19">
          <cell r="DV19" t="str">
            <v>B3-L6</v>
          </cell>
          <cell r="DY19">
            <v>16752960</v>
          </cell>
        </row>
        <row r="20">
          <cell r="DV20" t="str">
            <v>B3-L7</v>
          </cell>
          <cell r="DY20">
            <v>12690000</v>
          </cell>
        </row>
        <row r="21">
          <cell r="DV21" t="str">
            <v>B3-L8</v>
          </cell>
          <cell r="DY21">
            <v>18954880</v>
          </cell>
        </row>
        <row r="22">
          <cell r="DV22" t="str">
            <v>B3-L9</v>
          </cell>
          <cell r="DY22">
            <v>15899800</v>
          </cell>
        </row>
        <row r="23">
          <cell r="DV23" t="str">
            <v>B6-L4</v>
          </cell>
          <cell r="DY23">
            <v>20088040</v>
          </cell>
        </row>
        <row r="24">
          <cell r="DV24" t="str">
            <v>B6-L5</v>
          </cell>
          <cell r="DY24">
            <v>18149040</v>
          </cell>
        </row>
        <row r="25">
          <cell r="DV25" t="str">
            <v>B6A-L1</v>
          </cell>
          <cell r="DY25">
            <v>18421650</v>
          </cell>
        </row>
        <row r="26">
          <cell r="DV26" t="str">
            <v>B6A-L2</v>
          </cell>
          <cell r="DY26">
            <v>15526820</v>
          </cell>
        </row>
        <row r="27">
          <cell r="DV27" t="str">
            <v>B6A-L3</v>
          </cell>
          <cell r="DY27">
            <v>19256500</v>
          </cell>
        </row>
        <row r="28">
          <cell r="DV28" t="str">
            <v>B6A-L4</v>
          </cell>
          <cell r="DY28">
            <v>18304160</v>
          </cell>
        </row>
        <row r="29">
          <cell r="DV29" t="str">
            <v>B6B-L1</v>
          </cell>
          <cell r="DY29">
            <v>12099360</v>
          </cell>
        </row>
        <row r="30">
          <cell r="DV30" t="str">
            <v>B6B-L2</v>
          </cell>
          <cell r="DY30">
            <v>12099360</v>
          </cell>
        </row>
        <row r="31">
          <cell r="DV31" t="str">
            <v>B6B-L3</v>
          </cell>
          <cell r="DY31">
            <v>12989170</v>
          </cell>
        </row>
        <row r="32">
          <cell r="DV32" t="str">
            <v>B7A-L2</v>
          </cell>
          <cell r="DY32">
            <v>10680750</v>
          </cell>
        </row>
        <row r="33">
          <cell r="DV33" t="str">
            <v>B7A-L3</v>
          </cell>
          <cell r="DY33">
            <v>10892250</v>
          </cell>
        </row>
        <row r="34">
          <cell r="DV34" t="str">
            <v>B7A-L4</v>
          </cell>
          <cell r="DY34">
            <v>11526750</v>
          </cell>
        </row>
        <row r="35">
          <cell r="DV35" t="str">
            <v>B7A-L5</v>
          </cell>
          <cell r="DY35">
            <v>11667750</v>
          </cell>
        </row>
        <row r="36">
          <cell r="DV36" t="str">
            <v>B7A-L8</v>
          </cell>
          <cell r="DY36">
            <v>11491500</v>
          </cell>
        </row>
        <row r="37">
          <cell r="DV37" t="str">
            <v>B7A-L1</v>
          </cell>
          <cell r="DY37">
            <v>10613160</v>
          </cell>
        </row>
        <row r="38">
          <cell r="DV38" t="str">
            <v>B7A-L6</v>
          </cell>
          <cell r="DY38">
            <v>8583939</v>
          </cell>
        </row>
        <row r="39">
          <cell r="DV39" t="str">
            <v>B7A-L7</v>
          </cell>
          <cell r="DY39">
            <v>11491500</v>
          </cell>
        </row>
        <row r="40">
          <cell r="DV40" t="str">
            <v>B2-L1</v>
          </cell>
          <cell r="DY40">
            <v>25439680</v>
          </cell>
        </row>
        <row r="41">
          <cell r="DV41" t="str">
            <v>B2-L2</v>
          </cell>
          <cell r="DY41">
            <v>24657720</v>
          </cell>
        </row>
        <row r="42">
          <cell r="DV42" t="str">
            <v>B2-L3</v>
          </cell>
          <cell r="DY42">
            <v>16787410</v>
          </cell>
        </row>
        <row r="43">
          <cell r="DV43" t="str">
            <v>B2-L4</v>
          </cell>
          <cell r="DY43">
            <v>16053840</v>
          </cell>
        </row>
        <row r="44">
          <cell r="DV44" t="str">
            <v>B2-L5</v>
          </cell>
          <cell r="DY44">
            <v>16216000</v>
          </cell>
        </row>
        <row r="45">
          <cell r="DV45" t="str">
            <v>B2-L6</v>
          </cell>
          <cell r="DY45">
            <v>15851140</v>
          </cell>
        </row>
        <row r="46">
          <cell r="DV46" t="str">
            <v>B2-L7</v>
          </cell>
          <cell r="DY46">
            <v>15202500</v>
          </cell>
        </row>
        <row r="47">
          <cell r="DV47" t="str">
            <v>B2-L8</v>
          </cell>
          <cell r="DY47">
            <v>21121340</v>
          </cell>
        </row>
        <row r="48">
          <cell r="DV48" t="str">
            <v>B2-L16</v>
          </cell>
          <cell r="DY48">
            <v>12549000</v>
          </cell>
        </row>
        <row r="49">
          <cell r="DV49" t="str">
            <v>B2-L17</v>
          </cell>
          <cell r="DY49">
            <v>18614400</v>
          </cell>
        </row>
        <row r="50">
          <cell r="DV50" t="str">
            <v>B2-L18</v>
          </cell>
          <cell r="DY50">
            <v>21932140</v>
          </cell>
        </row>
        <row r="51">
          <cell r="DV51" t="str">
            <v>B2-L19</v>
          </cell>
          <cell r="DY51">
            <v>20445000</v>
          </cell>
        </row>
        <row r="52">
          <cell r="DV52" t="str">
            <v>B2-L20</v>
          </cell>
          <cell r="DY52">
            <v>19669500</v>
          </cell>
        </row>
        <row r="53">
          <cell r="DV53" t="str">
            <v>B2-L21</v>
          </cell>
          <cell r="DY53">
            <v>17567340</v>
          </cell>
        </row>
        <row r="54">
          <cell r="DV54" t="str">
            <v>B2-L22</v>
          </cell>
          <cell r="DY54">
            <v>12936750</v>
          </cell>
        </row>
        <row r="55">
          <cell r="DV55" t="str">
            <v>B2-L23</v>
          </cell>
          <cell r="DY55">
            <v>19506340</v>
          </cell>
        </row>
        <row r="56">
          <cell r="DV56" t="str">
            <v>B2-L24</v>
          </cell>
          <cell r="DY56">
            <v>23553740</v>
          </cell>
        </row>
        <row r="57">
          <cell r="DV57" t="str">
            <v>B2-L25</v>
          </cell>
          <cell r="DY57">
            <v>18193300</v>
          </cell>
        </row>
        <row r="58">
          <cell r="DV58" t="str">
            <v>B2-L26</v>
          </cell>
          <cell r="DY58">
            <v>23566670</v>
          </cell>
        </row>
        <row r="59">
          <cell r="DV59" t="str">
            <v>B2A-L1</v>
          </cell>
          <cell r="DY59">
            <v>14311500</v>
          </cell>
        </row>
        <row r="60">
          <cell r="DV60" t="str">
            <v>B2A-L2</v>
          </cell>
          <cell r="DY60">
            <v>13923750</v>
          </cell>
        </row>
        <row r="61">
          <cell r="DV61" t="str">
            <v>B2A-L3</v>
          </cell>
          <cell r="DY61">
            <v>13395000</v>
          </cell>
        </row>
        <row r="62">
          <cell r="DV62" t="str">
            <v>B2A-L4</v>
          </cell>
          <cell r="DY62">
            <v>11632500</v>
          </cell>
        </row>
        <row r="63">
          <cell r="DV63" t="str">
            <v>B2A-L5</v>
          </cell>
          <cell r="DY63">
            <v>11421000</v>
          </cell>
        </row>
        <row r="64">
          <cell r="DV64" t="str">
            <v>B2A-L6</v>
          </cell>
          <cell r="DY64">
            <v>14875500</v>
          </cell>
        </row>
        <row r="65">
          <cell r="DV65" t="str">
            <v>B2A-L7</v>
          </cell>
          <cell r="DY65">
            <v>12267000</v>
          </cell>
        </row>
        <row r="66">
          <cell r="DV66" t="str">
            <v>B2A-L8</v>
          </cell>
          <cell r="DY66">
            <v>12866250</v>
          </cell>
        </row>
        <row r="67">
          <cell r="DV67" t="str">
            <v>B2A-L9</v>
          </cell>
          <cell r="DY67">
            <v>14523000</v>
          </cell>
        </row>
        <row r="68">
          <cell r="DV68" t="str">
            <v>B3-L1</v>
          </cell>
          <cell r="DY68">
            <v>16791740</v>
          </cell>
        </row>
        <row r="69">
          <cell r="DV69" t="str">
            <v>B3-L2</v>
          </cell>
          <cell r="DY69">
            <v>20054940</v>
          </cell>
        </row>
        <row r="70">
          <cell r="DV70" t="str">
            <v>B3-L3</v>
          </cell>
          <cell r="DY70">
            <v>14487750</v>
          </cell>
        </row>
        <row r="71">
          <cell r="DV71" t="str">
            <v>B3-L5</v>
          </cell>
          <cell r="DY71">
            <v>16584950</v>
          </cell>
        </row>
        <row r="72">
          <cell r="DV72" t="str">
            <v>B3-L9</v>
          </cell>
          <cell r="DY72">
            <v>17643270</v>
          </cell>
        </row>
        <row r="73">
          <cell r="DV73" t="str">
            <v>B3-L10</v>
          </cell>
          <cell r="DY73">
            <v>17854820</v>
          </cell>
        </row>
        <row r="74">
          <cell r="DV74" t="str">
            <v>B3-L11</v>
          </cell>
          <cell r="DY74">
            <v>18574090</v>
          </cell>
        </row>
        <row r="75">
          <cell r="DV75" t="str">
            <v>B3A-L1</v>
          </cell>
          <cell r="DY75">
            <v>12293260</v>
          </cell>
        </row>
        <row r="76">
          <cell r="DV76" t="str">
            <v>B3A-L2</v>
          </cell>
          <cell r="DY76">
            <v>12060580</v>
          </cell>
        </row>
        <row r="77">
          <cell r="DV77" t="str">
            <v>B3A-L3</v>
          </cell>
          <cell r="DY77">
            <v>9899760</v>
          </cell>
        </row>
        <row r="78">
          <cell r="DV78" t="str">
            <v>B3A-L4</v>
          </cell>
          <cell r="DY78">
            <v>13327650</v>
          </cell>
        </row>
        <row r="79">
          <cell r="DV79" t="str">
            <v>B4-L1</v>
          </cell>
          <cell r="DY79">
            <v>23655800</v>
          </cell>
        </row>
        <row r="80">
          <cell r="DV80" t="str">
            <v>B4-L6</v>
          </cell>
          <cell r="DY80">
            <v>23357100</v>
          </cell>
        </row>
        <row r="81">
          <cell r="DV81" t="str">
            <v>B4-L7</v>
          </cell>
          <cell r="DY81">
            <v>14189000</v>
          </cell>
        </row>
        <row r="82">
          <cell r="DV82" t="str">
            <v>B4-L8</v>
          </cell>
          <cell r="DY82">
            <v>22255350</v>
          </cell>
        </row>
        <row r="83">
          <cell r="DV83" t="str">
            <v>B4A-L1</v>
          </cell>
          <cell r="DY83">
            <v>10348410</v>
          </cell>
        </row>
        <row r="84">
          <cell r="DV84" t="str">
            <v>B4A-L2</v>
          </cell>
          <cell r="DY84">
            <v>10276700</v>
          </cell>
        </row>
        <row r="85">
          <cell r="DV85" t="str">
            <v>B4A-L3</v>
          </cell>
          <cell r="DY85">
            <v>12254480</v>
          </cell>
        </row>
        <row r="86">
          <cell r="DV86" t="str">
            <v>B4A-L4</v>
          </cell>
          <cell r="DY86">
            <v>13883240</v>
          </cell>
        </row>
        <row r="87">
          <cell r="DV87" t="str">
            <v>B4A-L5</v>
          </cell>
          <cell r="DY87">
            <v>11280000</v>
          </cell>
        </row>
        <row r="88">
          <cell r="DV88" t="str">
            <v>B4A-L6</v>
          </cell>
          <cell r="DY88">
            <v>12408000</v>
          </cell>
        </row>
        <row r="89">
          <cell r="DV89" t="str">
            <v>B4A-L7</v>
          </cell>
          <cell r="DY89">
            <v>14404350</v>
          </cell>
        </row>
        <row r="90">
          <cell r="DV90" t="str">
            <v>B5-L1</v>
          </cell>
          <cell r="DY90">
            <v>23843400</v>
          </cell>
        </row>
        <row r="91">
          <cell r="DV91" t="str">
            <v>B5-L2</v>
          </cell>
          <cell r="DY91">
            <v>18788250</v>
          </cell>
        </row>
        <row r="92">
          <cell r="DV92" t="str">
            <v>B5-L3</v>
          </cell>
          <cell r="DY92">
            <v>21949480</v>
          </cell>
        </row>
        <row r="93">
          <cell r="DV93" t="str">
            <v>B5-L4</v>
          </cell>
          <cell r="DY93">
            <v>17412220</v>
          </cell>
        </row>
        <row r="94">
          <cell r="DV94" t="str">
            <v>B5-L6</v>
          </cell>
          <cell r="DY94">
            <v>15085420</v>
          </cell>
        </row>
        <row r="95">
          <cell r="DV95" t="str">
            <v>B5-L8</v>
          </cell>
          <cell r="DY95">
            <v>16248820</v>
          </cell>
        </row>
        <row r="96">
          <cell r="DV96" t="str">
            <v>B5-L9</v>
          </cell>
          <cell r="DY96">
            <v>16636620</v>
          </cell>
        </row>
        <row r="97">
          <cell r="DV97" t="str">
            <v>B5-L11</v>
          </cell>
          <cell r="DY97">
            <v>14930300</v>
          </cell>
        </row>
        <row r="98">
          <cell r="DV98" t="str">
            <v>B5-L13</v>
          </cell>
          <cell r="DY98">
            <v>15162980</v>
          </cell>
        </row>
        <row r="99">
          <cell r="DV99" t="str">
            <v>B5-L15</v>
          </cell>
          <cell r="DY99">
            <v>16210040</v>
          </cell>
        </row>
        <row r="100">
          <cell r="DV100" t="str">
            <v>B5-L16</v>
          </cell>
          <cell r="DY100">
            <v>20243160</v>
          </cell>
        </row>
        <row r="101">
          <cell r="DV101" t="str">
            <v>B5-L17</v>
          </cell>
          <cell r="DY101">
            <v>22740120</v>
          </cell>
        </row>
        <row r="102">
          <cell r="DV102" t="str">
            <v>B5-L18</v>
          </cell>
          <cell r="DY102">
            <v>14189000</v>
          </cell>
        </row>
        <row r="103">
          <cell r="DV103" t="str">
            <v>B5-L19</v>
          </cell>
          <cell r="DY103">
            <v>13824140</v>
          </cell>
        </row>
        <row r="104">
          <cell r="DV104" t="str">
            <v>B5-L20</v>
          </cell>
          <cell r="DY104">
            <v>17539860</v>
          </cell>
        </row>
        <row r="105">
          <cell r="DV105" t="str">
            <v>B5A-L1</v>
          </cell>
          <cell r="DY105">
            <v>16743750</v>
          </cell>
        </row>
        <row r="106">
          <cell r="DV106" t="str">
            <v>B5A-L2</v>
          </cell>
          <cell r="DY106">
            <v>15439500</v>
          </cell>
        </row>
        <row r="107">
          <cell r="DV107" t="str">
            <v>B5A-L3</v>
          </cell>
          <cell r="DY107">
            <v>13641750</v>
          </cell>
        </row>
        <row r="108">
          <cell r="DV108" t="str">
            <v>B5A-L4</v>
          </cell>
          <cell r="DY108">
            <v>13994250</v>
          </cell>
        </row>
        <row r="109">
          <cell r="DV109" t="str">
            <v>B5A-L5</v>
          </cell>
          <cell r="DY109">
            <v>13500750</v>
          </cell>
        </row>
        <row r="110">
          <cell r="DV110" t="str">
            <v>B5A-L6</v>
          </cell>
          <cell r="DY110">
            <v>12972000</v>
          </cell>
        </row>
        <row r="111">
          <cell r="DV111" t="str">
            <v>B7B-L9</v>
          </cell>
          <cell r="DY111">
            <v>11350500</v>
          </cell>
        </row>
        <row r="112">
          <cell r="DV112" t="str">
            <v>B7B-L10</v>
          </cell>
          <cell r="DY112">
            <v>13007250</v>
          </cell>
        </row>
        <row r="113">
          <cell r="DV113" t="str">
            <v>B7B-L12</v>
          </cell>
          <cell r="DY113">
            <v>11505600</v>
          </cell>
        </row>
        <row r="114">
          <cell r="DV114" t="str">
            <v>B7B-L13</v>
          </cell>
          <cell r="DY114">
            <v>11514360</v>
          </cell>
        </row>
        <row r="115">
          <cell r="DV115" t="str">
            <v>B7B-L1</v>
          </cell>
          <cell r="DY115">
            <v>10962750</v>
          </cell>
        </row>
        <row r="116">
          <cell r="DV116" t="str">
            <v>B7B-L2</v>
          </cell>
          <cell r="DY116">
            <v>11667750</v>
          </cell>
        </row>
        <row r="117">
          <cell r="DV117" t="str">
            <v>B7B-L3</v>
          </cell>
          <cell r="DY117">
            <v>11879250</v>
          </cell>
        </row>
        <row r="118">
          <cell r="DV118" t="str">
            <v>B7B-L4</v>
          </cell>
          <cell r="DY118">
            <v>11421000</v>
          </cell>
        </row>
        <row r="119">
          <cell r="DV119" t="str">
            <v>B7B-L5</v>
          </cell>
          <cell r="DY119">
            <v>12549000</v>
          </cell>
        </row>
        <row r="120">
          <cell r="DV120" t="str">
            <v>B7B-L6</v>
          </cell>
          <cell r="DY120">
            <v>11597250</v>
          </cell>
        </row>
        <row r="121">
          <cell r="DV121" t="str">
            <v>B7B-L7</v>
          </cell>
          <cell r="DY121">
            <v>12231750</v>
          </cell>
        </row>
        <row r="122">
          <cell r="DV122" t="str">
            <v>B7B-L14</v>
          </cell>
          <cell r="DY122">
            <v>11260600</v>
          </cell>
        </row>
        <row r="123">
          <cell r="DV123" t="str">
            <v>B7B-L15</v>
          </cell>
          <cell r="DY123">
            <v>10055240</v>
          </cell>
        </row>
        <row r="124">
          <cell r="DV124" t="str">
            <v>B7B-L16</v>
          </cell>
          <cell r="DY124">
            <v>9864920</v>
          </cell>
        </row>
        <row r="125">
          <cell r="DV125" t="str">
            <v>B7B-L17</v>
          </cell>
          <cell r="DY125">
            <v>10683310</v>
          </cell>
        </row>
        <row r="126">
          <cell r="DV126" t="str">
            <v>B7B-L8</v>
          </cell>
          <cell r="DY126">
            <v>11703000</v>
          </cell>
        </row>
      </sheetData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UnitPricing.bdo"/>
      <sheetName val="FREBAS tally"/>
      <sheetName val="3-Parameter Ref"/>
      <sheetName val="Excel"/>
      <sheetName val="inv"/>
      <sheetName val="PHASE I"/>
      <sheetName val="PHASE II"/>
      <sheetName val="PHASE III"/>
      <sheetName val="2-Lot Tagging_bdo"/>
      <sheetName val="Sheet5"/>
    </sheetNames>
    <sheetDataSet>
      <sheetData sheetId="0"/>
      <sheetData sheetId="1"/>
      <sheetData sheetId="2"/>
      <sheetData sheetId="3">
        <row r="14">
          <cell r="EB14" t="str">
            <v>B1B-L18</v>
          </cell>
          <cell r="EC14">
            <v>25350000</v>
          </cell>
        </row>
        <row r="15">
          <cell r="EB15" t="str">
            <v>B1B-L19</v>
          </cell>
          <cell r="EC15">
            <v>23020000</v>
          </cell>
        </row>
        <row r="16">
          <cell r="EB16" t="str">
            <v>B1B-L20</v>
          </cell>
          <cell r="EC16">
            <v>26290000</v>
          </cell>
        </row>
        <row r="17">
          <cell r="EB17" t="str">
            <v>B1B-L21</v>
          </cell>
          <cell r="EC17">
            <v>25030000</v>
          </cell>
        </row>
        <row r="18">
          <cell r="EB18" t="str">
            <v>B1B-L22</v>
          </cell>
          <cell r="EC18">
            <v>25030000</v>
          </cell>
        </row>
        <row r="19">
          <cell r="EB19" t="str">
            <v>B1B-L23</v>
          </cell>
          <cell r="EC19">
            <v>28740000</v>
          </cell>
        </row>
        <row r="20">
          <cell r="EB20" t="str">
            <v>B2-L14</v>
          </cell>
          <cell r="EC20">
            <v>28230000</v>
          </cell>
        </row>
        <row r="21">
          <cell r="EB21" t="str">
            <v>B2-L16</v>
          </cell>
          <cell r="EC21">
            <v>15920000</v>
          </cell>
        </row>
        <row r="22">
          <cell r="EB22" t="str">
            <v>B2-L18</v>
          </cell>
          <cell r="EC22">
            <v>25920000</v>
          </cell>
        </row>
        <row r="23">
          <cell r="EB23" t="str">
            <v>B2-L20</v>
          </cell>
          <cell r="EC23">
            <v>25920000</v>
          </cell>
        </row>
        <row r="24">
          <cell r="EB24" t="str">
            <v>B2-L22</v>
          </cell>
          <cell r="EC24">
            <v>15920000</v>
          </cell>
        </row>
        <row r="25">
          <cell r="EB25" t="str">
            <v>B2-L24</v>
          </cell>
          <cell r="EC25">
            <v>28230000</v>
          </cell>
        </row>
        <row r="26">
          <cell r="EB26" t="str">
            <v>B2-L25</v>
          </cell>
          <cell r="EC26">
            <v>25920000</v>
          </cell>
        </row>
        <row r="27">
          <cell r="EB27" t="str">
            <v>B2-L26</v>
          </cell>
          <cell r="EC27">
            <v>27770000</v>
          </cell>
        </row>
        <row r="28">
          <cell r="EB28" t="str">
            <v>B2-L27</v>
          </cell>
          <cell r="EC28">
            <v>14430000</v>
          </cell>
        </row>
        <row r="29">
          <cell r="EB29" t="str">
            <v>B2-L28</v>
          </cell>
          <cell r="EC29">
            <v>15920000</v>
          </cell>
        </row>
        <row r="30">
          <cell r="EB30" t="str">
            <v>B2-L29</v>
          </cell>
          <cell r="EC30">
            <v>23600000</v>
          </cell>
        </row>
        <row r="31">
          <cell r="EB31" t="str">
            <v>B2-L30</v>
          </cell>
          <cell r="EC31">
            <v>25920000</v>
          </cell>
        </row>
        <row r="32">
          <cell r="EB32" t="str">
            <v>B2-L31</v>
          </cell>
          <cell r="EC32">
            <v>23600000</v>
          </cell>
        </row>
        <row r="33">
          <cell r="EB33" t="str">
            <v>B2-L32</v>
          </cell>
          <cell r="EC33">
            <v>25920000</v>
          </cell>
        </row>
        <row r="34">
          <cell r="EB34" t="str">
            <v>B2-L33</v>
          </cell>
          <cell r="EC34">
            <v>14430000</v>
          </cell>
        </row>
        <row r="35">
          <cell r="EB35" t="str">
            <v>B2-L34</v>
          </cell>
          <cell r="EC35">
            <v>15920000</v>
          </cell>
        </row>
        <row r="36">
          <cell r="EB36" t="str">
            <v>B3-L10</v>
          </cell>
          <cell r="EC36">
            <v>14430000</v>
          </cell>
        </row>
        <row r="37">
          <cell r="EB37" t="str">
            <v>B3-L12</v>
          </cell>
          <cell r="EC37">
            <v>23600000</v>
          </cell>
        </row>
        <row r="38">
          <cell r="EB38" t="str">
            <v>B3-L2</v>
          </cell>
          <cell r="EC38">
            <v>24300000</v>
          </cell>
        </row>
        <row r="39">
          <cell r="EB39" t="str">
            <v>B3-L3</v>
          </cell>
          <cell r="EC39">
            <v>23600000</v>
          </cell>
        </row>
        <row r="40">
          <cell r="EB40" t="str">
            <v>B3-L4</v>
          </cell>
          <cell r="EC40">
            <v>14870000</v>
          </cell>
        </row>
        <row r="41">
          <cell r="EB41" t="str">
            <v>B3-L5</v>
          </cell>
          <cell r="EC41">
            <v>15920000</v>
          </cell>
        </row>
        <row r="42">
          <cell r="EB42" t="str">
            <v>B3-L6</v>
          </cell>
          <cell r="EC42">
            <v>26610000</v>
          </cell>
        </row>
        <row r="43">
          <cell r="EB43" t="str">
            <v>B3-L7</v>
          </cell>
          <cell r="EC43">
            <v>28230000</v>
          </cell>
        </row>
        <row r="44">
          <cell r="EB44" t="str">
            <v>B3-L8</v>
          </cell>
          <cell r="EC44">
            <v>25920000</v>
          </cell>
        </row>
        <row r="45">
          <cell r="EB45" t="str">
            <v>B4A-L1</v>
          </cell>
          <cell r="EC45">
            <v>22140000</v>
          </cell>
        </row>
        <row r="46">
          <cell r="EB46" t="str">
            <v>B4A-L2</v>
          </cell>
          <cell r="EC46">
            <v>20160000</v>
          </cell>
        </row>
        <row r="47">
          <cell r="EB47" t="str">
            <v>B4A-L3</v>
          </cell>
          <cell r="EC47">
            <v>25980000</v>
          </cell>
        </row>
        <row r="48">
          <cell r="EB48" t="str">
            <v>B4A-L4</v>
          </cell>
          <cell r="EC48">
            <v>20160000</v>
          </cell>
        </row>
        <row r="49">
          <cell r="EB49" t="str">
            <v>B4A-L5</v>
          </cell>
          <cell r="EC49">
            <v>25980000</v>
          </cell>
        </row>
        <row r="50">
          <cell r="EB50" t="str">
            <v>B4A-L6</v>
          </cell>
          <cell r="EC50">
            <v>20160000</v>
          </cell>
        </row>
        <row r="51">
          <cell r="EB51" t="str">
            <v>B2-L35</v>
          </cell>
          <cell r="EC51">
            <v>25920000</v>
          </cell>
        </row>
        <row r="52">
          <cell r="EB52" t="str">
            <v>B2-L36</v>
          </cell>
          <cell r="EC52">
            <v>28230000</v>
          </cell>
        </row>
        <row r="53">
          <cell r="EB53" t="str">
            <v>B3-L11</v>
          </cell>
          <cell r="EC53">
            <v>15920000</v>
          </cell>
        </row>
        <row r="54">
          <cell r="EB54" t="str">
            <v>B3-L13</v>
          </cell>
          <cell r="EC54">
            <v>25920000</v>
          </cell>
        </row>
        <row r="55">
          <cell r="EB55" t="str">
            <v>B3-L14</v>
          </cell>
          <cell r="EC55">
            <v>23600000</v>
          </cell>
        </row>
        <row r="56">
          <cell r="EB56" t="str">
            <v>B3-L15</v>
          </cell>
          <cell r="EC56">
            <v>25920000</v>
          </cell>
        </row>
        <row r="57">
          <cell r="EB57" t="str">
            <v>B3-L16</v>
          </cell>
          <cell r="EC57">
            <v>14430000</v>
          </cell>
        </row>
        <row r="58">
          <cell r="EB58" t="str">
            <v>B3-L17</v>
          </cell>
          <cell r="EC58">
            <v>15920000</v>
          </cell>
        </row>
        <row r="59">
          <cell r="EB59" t="str">
            <v>B3-L18</v>
          </cell>
          <cell r="EC59">
            <v>25920000</v>
          </cell>
        </row>
        <row r="60">
          <cell r="EB60" t="str">
            <v>B3-L19</v>
          </cell>
          <cell r="EC60">
            <v>28230000</v>
          </cell>
        </row>
        <row r="61">
          <cell r="EB61" t="str">
            <v>B3-L9</v>
          </cell>
          <cell r="EC61">
            <v>28230000</v>
          </cell>
        </row>
        <row r="62">
          <cell r="EB62" t="str">
            <v>B3A-L20</v>
          </cell>
          <cell r="EC62">
            <v>25060000</v>
          </cell>
        </row>
        <row r="63">
          <cell r="EB63" t="str">
            <v>B3A-L21</v>
          </cell>
          <cell r="EC63">
            <v>23860000</v>
          </cell>
        </row>
        <row r="64">
          <cell r="EB64" t="str">
            <v>B3A-L22</v>
          </cell>
          <cell r="EC64">
            <v>17640000</v>
          </cell>
        </row>
        <row r="65">
          <cell r="EB65" t="str">
            <v>B3A-L23</v>
          </cell>
          <cell r="EC65">
            <v>24170000</v>
          </cell>
        </row>
        <row r="66">
          <cell r="EB66" t="str">
            <v>B3A-L24</v>
          </cell>
          <cell r="EC66">
            <v>25060000</v>
          </cell>
        </row>
        <row r="67">
          <cell r="EB67" t="str">
            <v>B3A-L25</v>
          </cell>
          <cell r="EC67">
            <v>23860000</v>
          </cell>
        </row>
        <row r="68">
          <cell r="EB68" t="str">
            <v>B3A-L26</v>
          </cell>
          <cell r="EC68">
            <v>21940000</v>
          </cell>
        </row>
        <row r="69">
          <cell r="EB69" t="str">
            <v>B3A-L27</v>
          </cell>
          <cell r="EC69">
            <v>24170000</v>
          </cell>
        </row>
        <row r="70">
          <cell r="EB70" t="str">
            <v>B3A-L28</v>
          </cell>
          <cell r="EC70">
            <v>23860000</v>
          </cell>
        </row>
        <row r="71">
          <cell r="EB71" t="str">
            <v>B3A-L29</v>
          </cell>
          <cell r="EC71">
            <v>17690000</v>
          </cell>
        </row>
        <row r="72">
          <cell r="EB72" t="str">
            <v>B5-L10</v>
          </cell>
          <cell r="EC72">
            <v>20890000</v>
          </cell>
        </row>
        <row r="73">
          <cell r="EB73" t="str">
            <v>B5-L2</v>
          </cell>
          <cell r="EC73">
            <v>20890000</v>
          </cell>
        </row>
        <row r="74">
          <cell r="EB74" t="str">
            <v>B5-L3</v>
          </cell>
          <cell r="EC74">
            <v>20920000</v>
          </cell>
        </row>
        <row r="75">
          <cell r="EB75" t="str">
            <v>B5-L4</v>
          </cell>
          <cell r="EC75">
            <v>25980000</v>
          </cell>
        </row>
        <row r="76">
          <cell r="EB76" t="str">
            <v>B5-L5</v>
          </cell>
          <cell r="EC76">
            <v>20920000</v>
          </cell>
        </row>
        <row r="77">
          <cell r="EB77" t="str">
            <v>B5-L6</v>
          </cell>
          <cell r="EC77">
            <v>25980000</v>
          </cell>
        </row>
        <row r="78">
          <cell r="EB78" t="str">
            <v>B5-L7</v>
          </cell>
          <cell r="EC78">
            <v>20920000</v>
          </cell>
        </row>
        <row r="79">
          <cell r="EB79" t="str">
            <v>B5-L8</v>
          </cell>
          <cell r="EC79">
            <v>25980000</v>
          </cell>
        </row>
        <row r="80">
          <cell r="EB80" t="str">
            <v>B5-L9</v>
          </cell>
          <cell r="EC80">
            <v>20920000</v>
          </cell>
        </row>
        <row r="81">
          <cell r="EB81" t="str">
            <v>B1-L10</v>
          </cell>
          <cell r="EC81">
            <v>25920000</v>
          </cell>
        </row>
        <row r="82">
          <cell r="EB82" t="str">
            <v>B1-L11</v>
          </cell>
          <cell r="EC82">
            <v>15920000</v>
          </cell>
        </row>
        <row r="83">
          <cell r="EB83" t="str">
            <v>B1-L12</v>
          </cell>
          <cell r="EC83">
            <v>28230000</v>
          </cell>
        </row>
        <row r="84">
          <cell r="EB84" t="str">
            <v>B1-L13</v>
          </cell>
          <cell r="EC84">
            <v>21290000</v>
          </cell>
        </row>
        <row r="85">
          <cell r="EB85" t="str">
            <v>B1-L14</v>
          </cell>
          <cell r="EC85">
            <v>14430000</v>
          </cell>
        </row>
        <row r="86">
          <cell r="EB86" t="str">
            <v>B1-L15</v>
          </cell>
          <cell r="EC86">
            <v>25920000</v>
          </cell>
        </row>
        <row r="87">
          <cell r="EB87" t="str">
            <v>B1-L2</v>
          </cell>
          <cell r="EC87">
            <v>26610000</v>
          </cell>
        </row>
        <row r="88">
          <cell r="EB88" t="str">
            <v>B1-L3</v>
          </cell>
          <cell r="EC88">
            <v>13390000</v>
          </cell>
        </row>
        <row r="89">
          <cell r="EB89" t="str">
            <v>B1-L4</v>
          </cell>
          <cell r="EC89">
            <v>26610000</v>
          </cell>
        </row>
        <row r="90">
          <cell r="EB90" t="str">
            <v>B1A-L1</v>
          </cell>
          <cell r="EC90">
            <v>31840000</v>
          </cell>
        </row>
        <row r="91">
          <cell r="EB91" t="str">
            <v>B1A-L2</v>
          </cell>
          <cell r="EC91">
            <v>28250000</v>
          </cell>
        </row>
        <row r="92">
          <cell r="EB92" t="str">
            <v>B1A-L3</v>
          </cell>
          <cell r="EC92">
            <v>26900000</v>
          </cell>
        </row>
        <row r="93">
          <cell r="EB93" t="str">
            <v>B1A-L5</v>
          </cell>
          <cell r="EC93">
            <v>21510000</v>
          </cell>
        </row>
        <row r="94">
          <cell r="EB94" t="str">
            <v>B1A-L6</v>
          </cell>
          <cell r="EC94">
            <v>23690000</v>
          </cell>
        </row>
        <row r="95">
          <cell r="EB95" t="str">
            <v>B1A-L7</v>
          </cell>
          <cell r="EC95">
            <v>25470000</v>
          </cell>
        </row>
        <row r="96">
          <cell r="EB96" t="str">
            <v>B1B-L16</v>
          </cell>
          <cell r="EC96">
            <v>25030000</v>
          </cell>
        </row>
        <row r="97">
          <cell r="EB97" t="str">
            <v>B1B-L17</v>
          </cell>
          <cell r="EC97">
            <v>26290000</v>
          </cell>
        </row>
        <row r="98">
          <cell r="EB98" t="str">
            <v>B2-L1</v>
          </cell>
          <cell r="EC98">
            <v>26610000</v>
          </cell>
        </row>
        <row r="99">
          <cell r="EB99" t="str">
            <v>B2-L10</v>
          </cell>
          <cell r="EC99">
            <v>15920000</v>
          </cell>
        </row>
        <row r="100">
          <cell r="EB100" t="str">
            <v>B2-L11</v>
          </cell>
          <cell r="EC100">
            <v>26610000</v>
          </cell>
        </row>
        <row r="101">
          <cell r="EB101" t="str">
            <v>B2-L12</v>
          </cell>
          <cell r="EC101">
            <v>28230000</v>
          </cell>
        </row>
        <row r="102">
          <cell r="EB102" t="str">
            <v>B2-L13</v>
          </cell>
          <cell r="EC102">
            <v>25920000</v>
          </cell>
        </row>
        <row r="103">
          <cell r="EB103" t="str">
            <v>B2-L15</v>
          </cell>
          <cell r="EC103">
            <v>14430000</v>
          </cell>
        </row>
        <row r="104">
          <cell r="EB104" t="str">
            <v>B2-L17</v>
          </cell>
          <cell r="EC104">
            <v>23600000</v>
          </cell>
        </row>
        <row r="105">
          <cell r="EB105" t="str">
            <v>B2-L19</v>
          </cell>
          <cell r="EC105">
            <v>23600000</v>
          </cell>
        </row>
        <row r="106">
          <cell r="EB106" t="str">
            <v>B2-L2</v>
          </cell>
          <cell r="EC106">
            <v>27770000</v>
          </cell>
        </row>
        <row r="107">
          <cell r="EB107" t="str">
            <v>B2-L21</v>
          </cell>
          <cell r="EC107">
            <v>14430000</v>
          </cell>
        </row>
        <row r="108">
          <cell r="EB108" t="str">
            <v>B2-L23</v>
          </cell>
          <cell r="EC108">
            <v>25920000</v>
          </cell>
        </row>
        <row r="109">
          <cell r="EB109" t="str">
            <v>B2-L3</v>
          </cell>
          <cell r="EC109">
            <v>14870000</v>
          </cell>
        </row>
        <row r="110">
          <cell r="EB110" t="str">
            <v>B2-L4</v>
          </cell>
          <cell r="EC110">
            <v>15620000</v>
          </cell>
        </row>
        <row r="111">
          <cell r="EB111" t="str">
            <v>B2-L5</v>
          </cell>
          <cell r="EC111">
            <v>24300000</v>
          </cell>
        </row>
        <row r="112">
          <cell r="EB112" t="str">
            <v>B2-L6</v>
          </cell>
          <cell r="EC112">
            <v>25450000</v>
          </cell>
        </row>
        <row r="113">
          <cell r="EB113" t="str">
            <v>B2-L7</v>
          </cell>
          <cell r="EC113">
            <v>24300000</v>
          </cell>
        </row>
        <row r="114">
          <cell r="EB114" t="str">
            <v>B2-L8</v>
          </cell>
          <cell r="EC114">
            <v>25920000</v>
          </cell>
        </row>
        <row r="115">
          <cell r="EB115" t="str">
            <v>B2-L9</v>
          </cell>
          <cell r="EC115">
            <v>14870000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Assump"/>
      <sheetName val="II. Construction and Loans"/>
      <sheetName val="III. Vat Sched"/>
      <sheetName val="IV. Collection Sched"/>
      <sheetName val="V.a IS | CF sum"/>
      <sheetName val="V.b IS | CF details"/>
      <sheetName val="VI. PDMC"/>
      <sheetName val="1 - Base Price"/>
      <sheetName val="2 - Parameters"/>
      <sheetName val="3- Unit Pricing"/>
      <sheetName val="new tlp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2">
          <cell r="E42">
            <v>252</v>
          </cell>
        </row>
        <row r="44">
          <cell r="E44">
            <v>252</v>
          </cell>
        </row>
        <row r="46">
          <cell r="E46">
            <v>252</v>
          </cell>
        </row>
        <row r="48">
          <cell r="E48">
            <v>252</v>
          </cell>
        </row>
        <row r="57">
          <cell r="E57">
            <v>216</v>
          </cell>
        </row>
        <row r="59">
          <cell r="E59">
            <v>216</v>
          </cell>
        </row>
        <row r="61">
          <cell r="E61">
            <v>216</v>
          </cell>
        </row>
        <row r="63">
          <cell r="E63">
            <v>216</v>
          </cell>
        </row>
        <row r="65">
          <cell r="E65">
            <v>216</v>
          </cell>
        </row>
        <row r="67">
          <cell r="E67">
            <v>216</v>
          </cell>
        </row>
      </sheetData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PricingParameterValues"/>
    </sheetNames>
    <sheetDataSet>
      <sheetData sheetId="0"/>
      <sheetData sheetId="1"/>
      <sheetData sheetId="2"/>
      <sheetData sheetId="3">
        <row r="14">
          <cell r="DZ14" t="str">
            <v>B1 L1</v>
          </cell>
          <cell r="EA14">
            <v>17590000</v>
          </cell>
        </row>
        <row r="15">
          <cell r="DZ15" t="str">
            <v>B1 L2</v>
          </cell>
          <cell r="EA15">
            <v>13770000</v>
          </cell>
        </row>
        <row r="16">
          <cell r="DZ16" t="str">
            <v>B1 L3</v>
          </cell>
          <cell r="EA16">
            <v>13740000</v>
          </cell>
        </row>
        <row r="17">
          <cell r="DZ17" t="str">
            <v>B1 L4</v>
          </cell>
          <cell r="EA17">
            <v>16640000</v>
          </cell>
        </row>
        <row r="18">
          <cell r="DZ18" t="str">
            <v>B1 L5</v>
          </cell>
          <cell r="EA18">
            <v>22160000</v>
          </cell>
        </row>
        <row r="19">
          <cell r="DZ19" t="str">
            <v>B1 L6</v>
          </cell>
          <cell r="EA19">
            <v>12010000</v>
          </cell>
        </row>
        <row r="20">
          <cell r="DZ20" t="str">
            <v>B1 L7</v>
          </cell>
          <cell r="EA20">
            <v>11480000</v>
          </cell>
        </row>
        <row r="21">
          <cell r="DZ21" t="str">
            <v>B1 L8</v>
          </cell>
          <cell r="EA21">
            <v>11480000</v>
          </cell>
        </row>
        <row r="22">
          <cell r="DZ22" t="str">
            <v>B1 L9</v>
          </cell>
          <cell r="EA22">
            <v>11820000</v>
          </cell>
        </row>
        <row r="23">
          <cell r="DZ23" t="str">
            <v>B1 L10</v>
          </cell>
          <cell r="EA23">
            <v>11450000</v>
          </cell>
        </row>
        <row r="24">
          <cell r="DZ24" t="str">
            <v>B1 L11</v>
          </cell>
          <cell r="EA24">
            <v>12450000</v>
          </cell>
        </row>
        <row r="25">
          <cell r="DZ25" t="str">
            <v>B1 L12</v>
          </cell>
          <cell r="EA25">
            <v>19390000</v>
          </cell>
        </row>
        <row r="26">
          <cell r="DZ26" t="str">
            <v>B1 L13</v>
          </cell>
          <cell r="EA26">
            <v>12800000</v>
          </cell>
        </row>
        <row r="27">
          <cell r="DZ27" t="str">
            <v>B1 L14</v>
          </cell>
          <cell r="EA27">
            <v>12000000</v>
          </cell>
        </row>
        <row r="28">
          <cell r="DZ28" t="str">
            <v>B1 L15</v>
          </cell>
          <cell r="EA28">
            <v>11910000</v>
          </cell>
        </row>
        <row r="29">
          <cell r="DZ29" t="str">
            <v>B1 L16</v>
          </cell>
          <cell r="EA29">
            <v>11910000</v>
          </cell>
        </row>
        <row r="30">
          <cell r="DZ30" t="str">
            <v>B1 L17</v>
          </cell>
          <cell r="EA30">
            <v>11790000</v>
          </cell>
        </row>
        <row r="31">
          <cell r="DZ31" t="str">
            <v>B1 L18</v>
          </cell>
          <cell r="EA31">
            <v>11170000</v>
          </cell>
        </row>
        <row r="32">
          <cell r="DZ32" t="str">
            <v>B1 L19</v>
          </cell>
          <cell r="EA32">
            <v>13400000</v>
          </cell>
        </row>
        <row r="33">
          <cell r="DZ33" t="str">
            <v>B1 L20</v>
          </cell>
          <cell r="EA33">
            <v>16260000</v>
          </cell>
        </row>
        <row r="34">
          <cell r="DZ34" t="str">
            <v>B1 L21</v>
          </cell>
          <cell r="EA34">
            <v>12560000</v>
          </cell>
        </row>
        <row r="35">
          <cell r="DZ35" t="str">
            <v>B1 L22</v>
          </cell>
          <cell r="EA35">
            <v>13030000</v>
          </cell>
        </row>
        <row r="36">
          <cell r="DZ36" t="str">
            <v>B1 L23</v>
          </cell>
          <cell r="EA36">
            <v>11600000</v>
          </cell>
        </row>
        <row r="37">
          <cell r="DZ37" t="str">
            <v>B1 L24</v>
          </cell>
          <cell r="EA37">
            <v>13910000</v>
          </cell>
        </row>
        <row r="38">
          <cell r="DZ38" t="str">
            <v>B2 L1</v>
          </cell>
          <cell r="EA38">
            <v>14460000</v>
          </cell>
        </row>
        <row r="39">
          <cell r="DZ39" t="str">
            <v>B2 L2</v>
          </cell>
          <cell r="EA39">
            <v>16910000</v>
          </cell>
        </row>
        <row r="40">
          <cell r="DZ40" t="str">
            <v>B2 L3</v>
          </cell>
          <cell r="EA40">
            <v>12120000</v>
          </cell>
        </row>
        <row r="41">
          <cell r="DZ41" t="str">
            <v>B2 L4</v>
          </cell>
          <cell r="EA41">
            <v>13730000</v>
          </cell>
        </row>
        <row r="42">
          <cell r="DZ42" t="str">
            <v>B2 L5</v>
          </cell>
          <cell r="EA42">
            <v>13190000</v>
          </cell>
        </row>
        <row r="43">
          <cell r="DZ43" t="str">
            <v>B2 L6</v>
          </cell>
          <cell r="EA43">
            <v>14960000</v>
          </cell>
        </row>
        <row r="44">
          <cell r="DZ44" t="str">
            <v>B2 L7</v>
          </cell>
          <cell r="EA44">
            <v>18420000</v>
          </cell>
        </row>
        <row r="45">
          <cell r="DZ45" t="str">
            <v>B2 L8</v>
          </cell>
          <cell r="EA45">
            <v>22880000</v>
          </cell>
        </row>
        <row r="46">
          <cell r="DZ46" t="str">
            <v>B4 L1</v>
          </cell>
          <cell r="EA46">
            <v>20230000</v>
          </cell>
        </row>
        <row r="47">
          <cell r="DZ47" t="str">
            <v>B4 L2</v>
          </cell>
          <cell r="EA47">
            <v>20350000</v>
          </cell>
        </row>
        <row r="48">
          <cell r="DZ48" t="str">
            <v>B4 L3</v>
          </cell>
          <cell r="EA48">
            <v>14080000</v>
          </cell>
        </row>
        <row r="49">
          <cell r="DZ49" t="str">
            <v>B4 L4</v>
          </cell>
          <cell r="EA49">
            <v>14110000</v>
          </cell>
        </row>
        <row r="50">
          <cell r="DZ50" t="str">
            <v>B4 L5</v>
          </cell>
          <cell r="EA50">
            <v>14170000</v>
          </cell>
        </row>
        <row r="51">
          <cell r="DZ51" t="str">
            <v>B5 L1</v>
          </cell>
          <cell r="EA51">
            <v>14080000</v>
          </cell>
        </row>
        <row r="52">
          <cell r="DZ52" t="str">
            <v>B5 L2</v>
          </cell>
          <cell r="EA52">
            <v>14450000</v>
          </cell>
        </row>
        <row r="53">
          <cell r="DZ53" t="str">
            <v>B5 L3</v>
          </cell>
          <cell r="EA53">
            <v>14120000</v>
          </cell>
        </row>
        <row r="54">
          <cell r="DZ54" t="str">
            <v>B6 L1</v>
          </cell>
          <cell r="EA54">
            <v>14220000</v>
          </cell>
        </row>
        <row r="55">
          <cell r="DZ55" t="str">
            <v>B6 L2</v>
          </cell>
          <cell r="EA55">
            <v>14400000</v>
          </cell>
        </row>
        <row r="56">
          <cell r="DZ56" t="str">
            <v>B6 L3</v>
          </cell>
          <cell r="EA56">
            <v>13660000</v>
          </cell>
        </row>
        <row r="57">
          <cell r="DZ57" t="str">
            <v>B7 L1</v>
          </cell>
          <cell r="EA57">
            <v>17180000</v>
          </cell>
        </row>
        <row r="58">
          <cell r="DZ58" t="str">
            <v>B7 L2</v>
          </cell>
          <cell r="EA58">
            <v>23160000</v>
          </cell>
        </row>
        <row r="59">
          <cell r="DZ59" t="str">
            <v>B7 L3</v>
          </cell>
          <cell r="EA59">
            <v>10710000</v>
          </cell>
        </row>
        <row r="60">
          <cell r="DZ60" t="str">
            <v>B7 L4</v>
          </cell>
          <cell r="EA60">
            <v>12950000</v>
          </cell>
        </row>
        <row r="61">
          <cell r="DZ61" t="str">
            <v>B7 L5</v>
          </cell>
          <cell r="EA61">
            <v>12830000</v>
          </cell>
        </row>
        <row r="62">
          <cell r="DZ62" t="str">
            <v>B7 L6</v>
          </cell>
          <cell r="EA62">
            <v>16300000</v>
          </cell>
        </row>
        <row r="63">
          <cell r="DZ63" t="str">
            <v>B8 L1</v>
          </cell>
          <cell r="EA63">
            <v>14950000</v>
          </cell>
        </row>
        <row r="64">
          <cell r="DZ64" t="str">
            <v>B8 L2</v>
          </cell>
          <cell r="EA64">
            <v>14460000</v>
          </cell>
        </row>
        <row r="65">
          <cell r="DZ65" t="str">
            <v>B8 L3</v>
          </cell>
          <cell r="EA65">
            <v>10100000</v>
          </cell>
        </row>
        <row r="66">
          <cell r="DZ66" t="str">
            <v>B8 L4</v>
          </cell>
          <cell r="EA66">
            <v>11620000</v>
          </cell>
        </row>
        <row r="67">
          <cell r="DZ67" t="str">
            <v>B8 L5</v>
          </cell>
          <cell r="EA67">
            <v>10100000</v>
          </cell>
        </row>
        <row r="68">
          <cell r="DZ68" t="str">
            <v>B8 L6</v>
          </cell>
          <cell r="EA68">
            <v>11620000</v>
          </cell>
        </row>
        <row r="69">
          <cell r="DZ69" t="str">
            <v>B8 L7</v>
          </cell>
          <cell r="EA69">
            <v>12160000</v>
          </cell>
        </row>
        <row r="70">
          <cell r="DZ70" t="str">
            <v>B8 L8</v>
          </cell>
          <cell r="EA70">
            <v>15530000</v>
          </cell>
        </row>
        <row r="71">
          <cell r="DZ71" t="str">
            <v>B9 L1</v>
          </cell>
          <cell r="EA71">
            <v>14070000</v>
          </cell>
        </row>
        <row r="72">
          <cell r="DZ72" t="str">
            <v>B9 L2</v>
          </cell>
          <cell r="EA72">
            <v>14500000</v>
          </cell>
        </row>
        <row r="73">
          <cell r="DZ73" t="str">
            <v>B9 L3</v>
          </cell>
          <cell r="EA73">
            <v>13200000</v>
          </cell>
        </row>
        <row r="74">
          <cell r="DZ74" t="str">
            <v>B9 L4</v>
          </cell>
          <cell r="EA74">
            <v>12500000</v>
          </cell>
        </row>
        <row r="75">
          <cell r="DZ75" t="str">
            <v>B9 L5</v>
          </cell>
          <cell r="EA75">
            <v>28550000</v>
          </cell>
        </row>
        <row r="76">
          <cell r="DZ76" t="str">
            <v>B9 L6</v>
          </cell>
          <cell r="EA76">
            <v>20340000</v>
          </cell>
        </row>
        <row r="77">
          <cell r="DZ77" t="str">
            <v>B9 L7</v>
          </cell>
          <cell r="EA77">
            <v>20340000</v>
          </cell>
        </row>
        <row r="78">
          <cell r="DZ78" t="str">
            <v>B9 L8</v>
          </cell>
          <cell r="EA78">
            <v>18180000</v>
          </cell>
        </row>
        <row r="79">
          <cell r="DZ79" t="str">
            <v>B9 L9</v>
          </cell>
          <cell r="EA79">
            <v>27100000</v>
          </cell>
        </row>
        <row r="80">
          <cell r="DZ80" t="str">
            <v>B9 L10</v>
          </cell>
          <cell r="EA80">
            <v>13010000</v>
          </cell>
        </row>
        <row r="81">
          <cell r="DZ81" t="str">
            <v>B9 L11</v>
          </cell>
          <cell r="EA81">
            <v>12930000</v>
          </cell>
        </row>
        <row r="82">
          <cell r="DZ82" t="str">
            <v>B9 L12</v>
          </cell>
          <cell r="EA82">
            <v>16870000</v>
          </cell>
        </row>
        <row r="83">
          <cell r="DZ83" t="str">
            <v>B9 L13</v>
          </cell>
          <cell r="EA83">
            <v>14360000</v>
          </cell>
        </row>
        <row r="84">
          <cell r="DZ84" t="str">
            <v>B10 L1</v>
          </cell>
          <cell r="EA84">
            <v>14950000</v>
          </cell>
        </row>
        <row r="85">
          <cell r="DZ85" t="str">
            <v>B10 L2</v>
          </cell>
          <cell r="EA85">
            <v>17790000</v>
          </cell>
        </row>
        <row r="86">
          <cell r="DZ86" t="str">
            <v>B10 L3</v>
          </cell>
          <cell r="EA86">
            <v>11970000</v>
          </cell>
        </row>
        <row r="87">
          <cell r="DZ87" t="str">
            <v>B10 L4</v>
          </cell>
          <cell r="EA87">
            <v>13050000</v>
          </cell>
        </row>
        <row r="88">
          <cell r="DZ88" t="str">
            <v>B10 L5</v>
          </cell>
          <cell r="EA88">
            <v>11760000</v>
          </cell>
        </row>
        <row r="89">
          <cell r="DZ89" t="str">
            <v>B10 L6</v>
          </cell>
          <cell r="EA89">
            <v>13810000</v>
          </cell>
        </row>
        <row r="90">
          <cell r="DZ90" t="str">
            <v>B10 L7</v>
          </cell>
          <cell r="EA90">
            <v>11760000</v>
          </cell>
        </row>
        <row r="91">
          <cell r="DZ91" t="str">
            <v>B10 L8</v>
          </cell>
          <cell r="EA91">
            <v>19100000</v>
          </cell>
        </row>
        <row r="92">
          <cell r="DZ92" t="str">
            <v>B10 L9</v>
          </cell>
          <cell r="EA92">
            <v>15760000</v>
          </cell>
        </row>
        <row r="93">
          <cell r="DZ93" t="str">
            <v>B15 L1</v>
          </cell>
          <cell r="EA93">
            <v>21340000</v>
          </cell>
        </row>
        <row r="94">
          <cell r="DZ94" t="str">
            <v>B15 L2</v>
          </cell>
          <cell r="EA94">
            <v>14860000</v>
          </cell>
        </row>
        <row r="95">
          <cell r="DZ95" t="str">
            <v>B15 L3</v>
          </cell>
          <cell r="EA95">
            <v>30640000</v>
          </cell>
        </row>
        <row r="96">
          <cell r="DZ96" t="str">
            <v>B15 L4</v>
          </cell>
          <cell r="EA96">
            <v>24830000</v>
          </cell>
        </row>
        <row r="97">
          <cell r="DZ97" t="str">
            <v>B15 L5</v>
          </cell>
          <cell r="EA97">
            <v>19340000</v>
          </cell>
        </row>
        <row r="98">
          <cell r="DZ98" t="str">
            <v>B15 L6</v>
          </cell>
          <cell r="EA98">
            <v>14780000</v>
          </cell>
        </row>
        <row r="99">
          <cell r="DZ99" t="str">
            <v>B15 L7</v>
          </cell>
          <cell r="EA99">
            <v>13320000</v>
          </cell>
        </row>
        <row r="100">
          <cell r="DZ100" t="str">
            <v>B15 L8</v>
          </cell>
          <cell r="EA100">
            <v>14170000</v>
          </cell>
        </row>
        <row r="101">
          <cell r="DZ101" t="str">
            <v>B15 L9</v>
          </cell>
          <cell r="EA101">
            <v>12340000</v>
          </cell>
        </row>
        <row r="102">
          <cell r="DZ102" t="str">
            <v>B15 L10</v>
          </cell>
          <cell r="EA102">
            <v>13990000</v>
          </cell>
        </row>
        <row r="103">
          <cell r="DZ103" t="str">
            <v>B15 L11</v>
          </cell>
          <cell r="EA103">
            <v>19530000</v>
          </cell>
        </row>
        <row r="104">
          <cell r="DZ104" t="str">
            <v>B15 L12</v>
          </cell>
          <cell r="EA104">
            <v>20790000</v>
          </cell>
        </row>
        <row r="105">
          <cell r="DZ105" t="str">
            <v>B15 L13</v>
          </cell>
          <cell r="EA105">
            <v>19730000</v>
          </cell>
        </row>
        <row r="106">
          <cell r="DZ106" t="str">
            <v>B15 L14</v>
          </cell>
          <cell r="EA106">
            <v>14690000</v>
          </cell>
        </row>
        <row r="107">
          <cell r="DZ107" t="str">
            <v>B15 L15</v>
          </cell>
          <cell r="EA107">
            <v>15560000</v>
          </cell>
        </row>
        <row r="108">
          <cell r="DZ108" t="str">
            <v>B15 L16</v>
          </cell>
          <cell r="EA108">
            <v>15620000</v>
          </cell>
        </row>
        <row r="109">
          <cell r="DZ109" t="str">
            <v>B15 L17</v>
          </cell>
          <cell r="EA109">
            <v>15070000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WOODMORE SPRING A"/>
      <sheetName val="WOODMORE SPRING B"/>
      <sheetName val="Sheet6"/>
    </sheetNames>
    <sheetDataSet>
      <sheetData sheetId="0"/>
      <sheetData sheetId="1"/>
      <sheetData sheetId="2"/>
      <sheetData sheetId="3">
        <row r="14">
          <cell r="DQ14" t="str">
            <v>B2-L1</v>
          </cell>
          <cell r="DR14">
            <v>24970000</v>
          </cell>
        </row>
        <row r="15">
          <cell r="DQ15" t="str">
            <v>B3-L2</v>
          </cell>
          <cell r="DR15">
            <v>18740000</v>
          </cell>
        </row>
        <row r="16">
          <cell r="DQ16" t="str">
            <v>B3-L3</v>
          </cell>
          <cell r="DR16">
            <v>23540000</v>
          </cell>
        </row>
        <row r="17">
          <cell r="DQ17" t="str">
            <v>B3-L4</v>
          </cell>
          <cell r="DR17">
            <v>15230000</v>
          </cell>
        </row>
        <row r="18">
          <cell r="DQ18" t="str">
            <v>B3-L5</v>
          </cell>
          <cell r="DR18">
            <v>14850000</v>
          </cell>
        </row>
        <row r="19">
          <cell r="DQ19" t="str">
            <v>B3-L6</v>
          </cell>
          <cell r="DR19">
            <v>16760000</v>
          </cell>
        </row>
        <row r="20">
          <cell r="DQ20" t="str">
            <v>B3-L7</v>
          </cell>
          <cell r="DR20">
            <v>12690000</v>
          </cell>
        </row>
        <row r="21">
          <cell r="DQ21" t="str">
            <v>B3-L8</v>
          </cell>
          <cell r="DR21">
            <v>18960000</v>
          </cell>
        </row>
        <row r="22">
          <cell r="DQ22" t="str">
            <v>B3-L9</v>
          </cell>
          <cell r="DR22">
            <v>15900000</v>
          </cell>
        </row>
        <row r="23">
          <cell r="DQ23" t="str">
            <v>B6-L4</v>
          </cell>
          <cell r="DR23">
            <v>20090000</v>
          </cell>
        </row>
        <row r="24">
          <cell r="DQ24" t="str">
            <v>B6-L5</v>
          </cell>
          <cell r="DR24">
            <v>18150000</v>
          </cell>
        </row>
        <row r="25">
          <cell r="DQ25" t="str">
            <v>B6A-L1</v>
          </cell>
          <cell r="DR25">
            <v>18430000</v>
          </cell>
        </row>
        <row r="26">
          <cell r="DQ26" t="str">
            <v>B6A-L2</v>
          </cell>
          <cell r="DR26">
            <v>15530000</v>
          </cell>
        </row>
        <row r="27">
          <cell r="DQ27" t="str">
            <v>B6A-L3</v>
          </cell>
          <cell r="DR27">
            <v>19260000</v>
          </cell>
        </row>
        <row r="28">
          <cell r="DQ28" t="str">
            <v>B6A-L4</v>
          </cell>
          <cell r="DR28">
            <v>18310000</v>
          </cell>
        </row>
        <row r="29">
          <cell r="DQ29" t="str">
            <v>B6B-L1</v>
          </cell>
          <cell r="DR29">
            <v>12100000</v>
          </cell>
        </row>
        <row r="30">
          <cell r="DQ30" t="str">
            <v>B6B-L2</v>
          </cell>
          <cell r="DR30">
            <v>12100000</v>
          </cell>
        </row>
        <row r="31">
          <cell r="DQ31" t="str">
            <v>B6B-L3</v>
          </cell>
          <cell r="DR31">
            <v>12990000</v>
          </cell>
        </row>
        <row r="32">
          <cell r="DQ32" t="str">
            <v>B7A-L2</v>
          </cell>
          <cell r="DR32">
            <v>10690000</v>
          </cell>
        </row>
        <row r="33">
          <cell r="DQ33" t="str">
            <v>B7A-L3</v>
          </cell>
          <cell r="DR33">
            <v>10900000</v>
          </cell>
        </row>
        <row r="34">
          <cell r="DQ34" t="str">
            <v>B7A-L4</v>
          </cell>
          <cell r="DR34">
            <v>11530000</v>
          </cell>
        </row>
        <row r="35">
          <cell r="DQ35" t="str">
            <v>B7A-L5</v>
          </cell>
          <cell r="DR35">
            <v>11670000</v>
          </cell>
        </row>
        <row r="36">
          <cell r="DQ36" t="str">
            <v>B7A-L8</v>
          </cell>
          <cell r="DR36">
            <v>11500000</v>
          </cell>
        </row>
        <row r="37">
          <cell r="DQ37" t="str">
            <v>B7A-L1</v>
          </cell>
          <cell r="DR37">
            <v>10620000</v>
          </cell>
        </row>
        <row r="38">
          <cell r="DQ38" t="str">
            <v>B7A-L6</v>
          </cell>
          <cell r="DR38">
            <v>11570000</v>
          </cell>
        </row>
        <row r="39">
          <cell r="DQ39" t="str">
            <v>B7A-L7</v>
          </cell>
          <cell r="DR39">
            <v>11500000</v>
          </cell>
        </row>
        <row r="40">
          <cell r="DQ40" t="str">
            <v>B2-L1</v>
          </cell>
          <cell r="DR40">
            <v>25440000</v>
          </cell>
        </row>
        <row r="41">
          <cell r="DQ41" t="str">
            <v>B2-L2</v>
          </cell>
          <cell r="DR41">
            <v>24660000</v>
          </cell>
        </row>
        <row r="42">
          <cell r="DQ42" t="str">
            <v>B2-L3</v>
          </cell>
          <cell r="DR42">
            <v>16790000</v>
          </cell>
        </row>
        <row r="43">
          <cell r="DQ43" t="str">
            <v>B2-L4</v>
          </cell>
          <cell r="DR43">
            <v>16060000</v>
          </cell>
        </row>
        <row r="44">
          <cell r="DQ44" t="str">
            <v>B2-L5</v>
          </cell>
          <cell r="DR44">
            <v>16220000</v>
          </cell>
        </row>
        <row r="45">
          <cell r="DQ45" t="str">
            <v>B2-L6</v>
          </cell>
          <cell r="DR45">
            <v>15860000</v>
          </cell>
        </row>
        <row r="46">
          <cell r="DQ46" t="str">
            <v>B2-L7</v>
          </cell>
          <cell r="DR46">
            <v>15210000</v>
          </cell>
        </row>
        <row r="47">
          <cell r="DQ47" t="str">
            <v>B2-L8</v>
          </cell>
          <cell r="DR47">
            <v>21130000</v>
          </cell>
        </row>
        <row r="48">
          <cell r="DQ48" t="str">
            <v>B2-L16</v>
          </cell>
          <cell r="DR48">
            <v>12550000</v>
          </cell>
        </row>
        <row r="49">
          <cell r="DQ49" t="str">
            <v>B2-L17</v>
          </cell>
          <cell r="DR49">
            <v>18620000</v>
          </cell>
        </row>
        <row r="50">
          <cell r="DQ50" t="str">
            <v>B2-L18</v>
          </cell>
          <cell r="DR50">
            <v>21940000</v>
          </cell>
        </row>
        <row r="51">
          <cell r="DQ51" t="str">
            <v>B2-L19</v>
          </cell>
          <cell r="DR51">
            <v>20450000</v>
          </cell>
        </row>
        <row r="52">
          <cell r="DQ52" t="str">
            <v>B2-L20</v>
          </cell>
          <cell r="DR52">
            <v>19670000</v>
          </cell>
        </row>
        <row r="53">
          <cell r="DQ53" t="str">
            <v>B2-L21</v>
          </cell>
          <cell r="DR53">
            <v>17570000</v>
          </cell>
        </row>
        <row r="54">
          <cell r="DQ54" t="str">
            <v>B2-L22</v>
          </cell>
          <cell r="DR54">
            <v>12940000</v>
          </cell>
        </row>
        <row r="55">
          <cell r="DQ55" t="str">
            <v>B2-L23</v>
          </cell>
          <cell r="DR55">
            <v>19510000</v>
          </cell>
        </row>
        <row r="56">
          <cell r="DQ56" t="str">
            <v>B2-L24</v>
          </cell>
          <cell r="DR56">
            <v>23560000</v>
          </cell>
        </row>
        <row r="57">
          <cell r="DQ57" t="str">
            <v>B2-L25</v>
          </cell>
          <cell r="DR57">
            <v>18200000</v>
          </cell>
        </row>
        <row r="58">
          <cell r="DQ58" t="str">
            <v>B2-L26</v>
          </cell>
          <cell r="DR58">
            <v>23570000</v>
          </cell>
        </row>
        <row r="59">
          <cell r="DQ59" t="str">
            <v>B2A-L1</v>
          </cell>
          <cell r="DR59">
            <v>14320000</v>
          </cell>
        </row>
        <row r="60">
          <cell r="DQ60" t="str">
            <v>B2A-L2</v>
          </cell>
          <cell r="DR60">
            <v>13930000</v>
          </cell>
        </row>
        <row r="61">
          <cell r="DQ61" t="str">
            <v>B2A-L3</v>
          </cell>
          <cell r="DR61">
            <v>13400000</v>
          </cell>
        </row>
        <row r="62">
          <cell r="DQ62" t="str">
            <v>B2A-L4</v>
          </cell>
          <cell r="DR62">
            <v>11640000</v>
          </cell>
        </row>
        <row r="63">
          <cell r="DQ63" t="str">
            <v>B2A-L5</v>
          </cell>
          <cell r="DR63">
            <v>11430000</v>
          </cell>
        </row>
        <row r="64">
          <cell r="DQ64" t="str">
            <v>B2A-L6</v>
          </cell>
          <cell r="DR64">
            <v>14880000</v>
          </cell>
        </row>
        <row r="65">
          <cell r="DQ65" t="str">
            <v>B2A-L7</v>
          </cell>
          <cell r="DR65">
            <v>12270000</v>
          </cell>
        </row>
        <row r="66">
          <cell r="DQ66" t="str">
            <v>B2A-L8</v>
          </cell>
          <cell r="DR66">
            <v>12870000</v>
          </cell>
        </row>
        <row r="67">
          <cell r="DQ67" t="str">
            <v>B2A-L9</v>
          </cell>
          <cell r="DR67">
            <v>14530000</v>
          </cell>
        </row>
        <row r="68">
          <cell r="DQ68" t="str">
            <v>B3-L1</v>
          </cell>
          <cell r="DR68">
            <v>16800000</v>
          </cell>
        </row>
        <row r="69">
          <cell r="DQ69" t="str">
            <v>B3-L2</v>
          </cell>
          <cell r="DR69">
            <v>20060000</v>
          </cell>
        </row>
        <row r="70">
          <cell r="DQ70" t="str">
            <v>B3-L3</v>
          </cell>
          <cell r="DR70">
            <v>14490000</v>
          </cell>
        </row>
        <row r="71">
          <cell r="DQ71" t="str">
            <v>B3-L5</v>
          </cell>
          <cell r="DR71">
            <v>16590000</v>
          </cell>
        </row>
        <row r="72">
          <cell r="DQ72" t="str">
            <v>B3-L9</v>
          </cell>
          <cell r="DR72">
            <v>17650000</v>
          </cell>
        </row>
        <row r="73">
          <cell r="DQ73" t="str">
            <v>B3-L10</v>
          </cell>
          <cell r="DR73">
            <v>17860000</v>
          </cell>
        </row>
        <row r="74">
          <cell r="DQ74" t="str">
            <v>B3-L11</v>
          </cell>
          <cell r="DR74">
            <v>18580000</v>
          </cell>
        </row>
        <row r="75">
          <cell r="DQ75" t="str">
            <v>B3A-L1</v>
          </cell>
          <cell r="DR75">
            <v>12300000</v>
          </cell>
        </row>
        <row r="76">
          <cell r="DQ76" t="str">
            <v>B3A-L2</v>
          </cell>
          <cell r="DR76">
            <v>12070000</v>
          </cell>
        </row>
        <row r="77">
          <cell r="DQ77" t="str">
            <v>B3A-L3</v>
          </cell>
          <cell r="DR77">
            <v>9900000</v>
          </cell>
        </row>
        <row r="78">
          <cell r="DQ78" t="str">
            <v>B3A-L4</v>
          </cell>
          <cell r="DR78">
            <v>13330000</v>
          </cell>
        </row>
        <row r="79">
          <cell r="DQ79" t="str">
            <v>B4-L1</v>
          </cell>
          <cell r="DR79">
            <v>23660000</v>
          </cell>
        </row>
        <row r="80">
          <cell r="DQ80" t="str">
            <v>B4-L6</v>
          </cell>
          <cell r="DR80">
            <v>23360000</v>
          </cell>
        </row>
        <row r="81">
          <cell r="DQ81" t="str">
            <v>B4-L7</v>
          </cell>
          <cell r="DR81">
            <v>14190000</v>
          </cell>
        </row>
        <row r="82">
          <cell r="DQ82" t="str">
            <v>B4-L8</v>
          </cell>
          <cell r="DR82">
            <v>22260000</v>
          </cell>
        </row>
        <row r="83">
          <cell r="DQ83" t="str">
            <v>B4A-L1</v>
          </cell>
          <cell r="DR83">
            <v>10350000</v>
          </cell>
        </row>
        <row r="84">
          <cell r="DQ84" t="str">
            <v>B4A-L2</v>
          </cell>
          <cell r="DR84">
            <v>10280000</v>
          </cell>
        </row>
        <row r="85">
          <cell r="DQ85" t="str">
            <v>B4A-L3</v>
          </cell>
          <cell r="DR85">
            <v>12260000</v>
          </cell>
        </row>
        <row r="86">
          <cell r="DQ86" t="str">
            <v>B4A-L4</v>
          </cell>
          <cell r="DR86">
            <v>13890000</v>
          </cell>
        </row>
        <row r="87">
          <cell r="DQ87" t="str">
            <v>B4A-L5</v>
          </cell>
          <cell r="DR87">
            <v>11280000</v>
          </cell>
        </row>
        <row r="88">
          <cell r="DQ88" t="str">
            <v>B4A-L6</v>
          </cell>
          <cell r="DR88">
            <v>12410000</v>
          </cell>
        </row>
        <row r="89">
          <cell r="DQ89" t="str">
            <v>B4A-L7</v>
          </cell>
          <cell r="DR89">
            <v>14410000</v>
          </cell>
        </row>
        <row r="90">
          <cell r="DQ90" t="str">
            <v>B5-L1</v>
          </cell>
          <cell r="DR90">
            <v>23850000</v>
          </cell>
        </row>
        <row r="91">
          <cell r="DQ91" t="str">
            <v>B5-L2</v>
          </cell>
          <cell r="DR91">
            <v>18790000</v>
          </cell>
        </row>
        <row r="92">
          <cell r="DQ92" t="str">
            <v>B5-L3</v>
          </cell>
          <cell r="DR92">
            <v>21950000</v>
          </cell>
        </row>
        <row r="93">
          <cell r="DQ93" t="str">
            <v>B5-L4</v>
          </cell>
          <cell r="DR93">
            <v>17420000</v>
          </cell>
        </row>
        <row r="94">
          <cell r="DQ94" t="str">
            <v>B5-L6</v>
          </cell>
          <cell r="DR94">
            <v>15090000</v>
          </cell>
        </row>
        <row r="95">
          <cell r="DQ95" t="str">
            <v>B5-L8</v>
          </cell>
          <cell r="DR95">
            <v>16250000</v>
          </cell>
        </row>
        <row r="96">
          <cell r="DQ96" t="str">
            <v>B5-L9</v>
          </cell>
          <cell r="DR96">
            <v>16640000</v>
          </cell>
        </row>
        <row r="97">
          <cell r="DQ97" t="str">
            <v>B5-L11</v>
          </cell>
          <cell r="DR97">
            <v>14940000</v>
          </cell>
        </row>
        <row r="98">
          <cell r="DQ98" t="str">
            <v>B5-L13</v>
          </cell>
          <cell r="DR98">
            <v>15170000</v>
          </cell>
        </row>
        <row r="99">
          <cell r="DQ99" t="str">
            <v>B5-L15</v>
          </cell>
          <cell r="DR99">
            <v>16220000</v>
          </cell>
        </row>
        <row r="100">
          <cell r="DQ100" t="str">
            <v>B5-L16</v>
          </cell>
          <cell r="DR100">
            <v>20250000</v>
          </cell>
        </row>
        <row r="101">
          <cell r="DQ101" t="str">
            <v>B5-L17</v>
          </cell>
          <cell r="DR101">
            <v>22750000</v>
          </cell>
        </row>
        <row r="102">
          <cell r="DQ102" t="str">
            <v>B5-L18</v>
          </cell>
          <cell r="DR102">
            <v>14190000</v>
          </cell>
        </row>
        <row r="103">
          <cell r="DQ103" t="str">
            <v>B5-L19</v>
          </cell>
          <cell r="DR103">
            <v>13830000</v>
          </cell>
        </row>
        <row r="104">
          <cell r="DQ104" t="str">
            <v>B5-L20</v>
          </cell>
          <cell r="DR104">
            <v>17540000</v>
          </cell>
        </row>
        <row r="105">
          <cell r="DQ105" t="str">
            <v>B5A-L1</v>
          </cell>
          <cell r="DR105">
            <v>16750000</v>
          </cell>
        </row>
        <row r="106">
          <cell r="DQ106" t="str">
            <v>B5A-L2</v>
          </cell>
          <cell r="DR106">
            <v>15440000</v>
          </cell>
        </row>
        <row r="107">
          <cell r="DQ107" t="str">
            <v>B5A-L3</v>
          </cell>
          <cell r="DR107">
            <v>13650000</v>
          </cell>
        </row>
        <row r="108">
          <cell r="DQ108" t="str">
            <v>B5A-L4</v>
          </cell>
          <cell r="DR108">
            <v>14000000</v>
          </cell>
        </row>
        <row r="109">
          <cell r="DQ109" t="str">
            <v>B5A-L5</v>
          </cell>
          <cell r="DR109">
            <v>13510000</v>
          </cell>
        </row>
        <row r="110">
          <cell r="DQ110" t="str">
            <v>B5A-L6</v>
          </cell>
          <cell r="DR110">
            <v>12980000</v>
          </cell>
        </row>
        <row r="111">
          <cell r="DQ111" t="str">
            <v>B7B-L9</v>
          </cell>
          <cell r="DR111">
            <v>11360000</v>
          </cell>
        </row>
        <row r="112">
          <cell r="DQ112" t="str">
            <v>B7B-L10</v>
          </cell>
          <cell r="DR112">
            <v>13010000</v>
          </cell>
        </row>
        <row r="113">
          <cell r="DQ113" t="str">
            <v>B7B-L12</v>
          </cell>
          <cell r="DR113">
            <v>11510000</v>
          </cell>
        </row>
        <row r="114">
          <cell r="DQ114" t="str">
            <v>B7B-L13</v>
          </cell>
          <cell r="DR114">
            <v>11520000</v>
          </cell>
        </row>
        <row r="115">
          <cell r="DQ115" t="str">
            <v>B7B-L1</v>
          </cell>
          <cell r="DR115">
            <v>10970000</v>
          </cell>
        </row>
        <row r="116">
          <cell r="DQ116" t="str">
            <v>B7B-L2</v>
          </cell>
          <cell r="DR116">
            <v>11670000</v>
          </cell>
        </row>
        <row r="117">
          <cell r="DQ117" t="str">
            <v>B7B-L3</v>
          </cell>
          <cell r="DR117">
            <v>11880000</v>
          </cell>
        </row>
        <row r="118">
          <cell r="DQ118" t="str">
            <v>B7B-L4</v>
          </cell>
          <cell r="DR118">
            <v>11430000</v>
          </cell>
        </row>
        <row r="119">
          <cell r="DQ119" t="str">
            <v>B7B-L5</v>
          </cell>
          <cell r="DR119">
            <v>12550000</v>
          </cell>
        </row>
        <row r="120">
          <cell r="DQ120" t="str">
            <v>B7B-L6</v>
          </cell>
          <cell r="DR120">
            <v>11600000</v>
          </cell>
        </row>
        <row r="121">
          <cell r="DQ121" t="str">
            <v>B7B-L7</v>
          </cell>
          <cell r="DR121">
            <v>12240000</v>
          </cell>
        </row>
        <row r="122">
          <cell r="DQ122" t="str">
            <v>B7B-L14</v>
          </cell>
          <cell r="DR122">
            <v>11270000</v>
          </cell>
        </row>
        <row r="123">
          <cell r="DQ123" t="str">
            <v>B7B-L15</v>
          </cell>
          <cell r="DR123">
            <v>10060000</v>
          </cell>
        </row>
        <row r="124">
          <cell r="DQ124" t="str">
            <v>B7B-L16</v>
          </cell>
          <cell r="DR124">
            <v>9870000</v>
          </cell>
        </row>
        <row r="125">
          <cell r="DQ125" t="str">
            <v>B7B-L17</v>
          </cell>
          <cell r="DR125">
            <v>10690000</v>
          </cell>
        </row>
        <row r="126">
          <cell r="DQ126" t="str">
            <v>B7B-L8</v>
          </cell>
          <cell r="DR126">
            <v>11710000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WEST PARC A"/>
      <sheetName val="WEST PARC B"/>
      <sheetName val="Sheet2"/>
    </sheetNames>
    <sheetDataSet>
      <sheetData sheetId="0"/>
      <sheetData sheetId="1"/>
      <sheetData sheetId="2"/>
      <sheetData sheetId="3">
        <row r="14">
          <cell r="DQ14" t="str">
            <v>B1-L1</v>
          </cell>
          <cell r="DR14">
            <v>14030000</v>
          </cell>
        </row>
        <row r="15">
          <cell r="DQ15" t="str">
            <v>B1-L2</v>
          </cell>
          <cell r="DR15">
            <v>13420000</v>
          </cell>
        </row>
        <row r="16">
          <cell r="DQ16" t="str">
            <v>B1-L3</v>
          </cell>
          <cell r="DR16">
            <v>13420000</v>
          </cell>
        </row>
        <row r="17">
          <cell r="DQ17" t="str">
            <v>B1-L4</v>
          </cell>
          <cell r="DR17">
            <v>13360000</v>
          </cell>
        </row>
        <row r="18">
          <cell r="DQ18" t="str">
            <v>B9-L1</v>
          </cell>
          <cell r="DR18">
            <v>14110000</v>
          </cell>
        </row>
        <row r="19">
          <cell r="DQ19" t="str">
            <v>B9-L2</v>
          </cell>
          <cell r="DR19">
            <v>13640000</v>
          </cell>
        </row>
        <row r="20">
          <cell r="DQ20" t="str">
            <v>B9-L3</v>
          </cell>
          <cell r="DR20">
            <v>12920000</v>
          </cell>
        </row>
        <row r="21">
          <cell r="DQ21" t="str">
            <v>B9-L4</v>
          </cell>
          <cell r="DR21">
            <v>12670000</v>
          </cell>
        </row>
        <row r="22">
          <cell r="DQ22" t="str">
            <v>B9-L5</v>
          </cell>
          <cell r="DR22">
            <v>11950000</v>
          </cell>
        </row>
        <row r="23">
          <cell r="DQ23" t="str">
            <v>B9-L6</v>
          </cell>
          <cell r="DR23">
            <v>9840000</v>
          </cell>
        </row>
        <row r="24">
          <cell r="DQ24" t="str">
            <v>B10-L1</v>
          </cell>
          <cell r="DR24">
            <v>22800000</v>
          </cell>
        </row>
        <row r="25">
          <cell r="DQ25" t="str">
            <v>B10-L2</v>
          </cell>
          <cell r="DR25">
            <v>16370000</v>
          </cell>
        </row>
        <row r="26">
          <cell r="DQ26" t="str">
            <v>B10-L3</v>
          </cell>
          <cell r="DR26">
            <v>17260000</v>
          </cell>
        </row>
        <row r="27">
          <cell r="DQ27" t="str">
            <v>B10-L4</v>
          </cell>
          <cell r="DR27">
            <v>16190000</v>
          </cell>
        </row>
        <row r="28">
          <cell r="DQ28" t="str">
            <v>B10-L5</v>
          </cell>
          <cell r="DR28">
            <v>14930000</v>
          </cell>
        </row>
        <row r="29">
          <cell r="DQ29" t="str">
            <v>B10-L6</v>
          </cell>
          <cell r="DR29">
            <v>11240000</v>
          </cell>
        </row>
        <row r="30">
          <cell r="DQ30" t="str">
            <v>B10-L7</v>
          </cell>
          <cell r="DR30">
            <v>15760000</v>
          </cell>
        </row>
        <row r="31">
          <cell r="DQ31" t="str">
            <v>B10-L8</v>
          </cell>
          <cell r="DR31">
            <v>12050000</v>
          </cell>
        </row>
        <row r="32">
          <cell r="DQ32" t="str">
            <v>B10-L9</v>
          </cell>
          <cell r="DR32">
            <v>12700000</v>
          </cell>
        </row>
        <row r="33">
          <cell r="DQ33" t="str">
            <v>B10-L10</v>
          </cell>
          <cell r="DR33">
            <v>13390000</v>
          </cell>
        </row>
        <row r="34">
          <cell r="DQ34" t="str">
            <v>B10-L11</v>
          </cell>
          <cell r="DR34">
            <v>19670000</v>
          </cell>
        </row>
        <row r="35">
          <cell r="DQ35" t="str">
            <v>B10-L12</v>
          </cell>
          <cell r="DR35">
            <v>17130000</v>
          </cell>
        </row>
        <row r="36">
          <cell r="DQ36" t="str">
            <v>B11-L1</v>
          </cell>
          <cell r="DR36">
            <v>13900000</v>
          </cell>
        </row>
        <row r="37">
          <cell r="DQ37" t="str">
            <v>B11-L2</v>
          </cell>
          <cell r="DR37">
            <v>13300000</v>
          </cell>
        </row>
        <row r="38">
          <cell r="DQ38" t="str">
            <v>B11-L3</v>
          </cell>
          <cell r="DR38">
            <v>13300000</v>
          </cell>
        </row>
        <row r="39">
          <cell r="DQ39" t="str">
            <v>B11-L4</v>
          </cell>
          <cell r="DR39">
            <v>13330000</v>
          </cell>
        </row>
        <row r="40">
          <cell r="DQ40" t="str">
            <v>B11-L5</v>
          </cell>
          <cell r="DR40">
            <v>15140000</v>
          </cell>
        </row>
        <row r="41">
          <cell r="DQ41" t="str">
            <v>B11-L6</v>
          </cell>
          <cell r="DR41">
            <v>22230000</v>
          </cell>
        </row>
        <row r="42">
          <cell r="DQ42" t="str">
            <v>B11-L7</v>
          </cell>
          <cell r="DR42">
            <v>17980000</v>
          </cell>
        </row>
        <row r="43">
          <cell r="DQ43" t="str">
            <v>B11-L8</v>
          </cell>
          <cell r="DR43">
            <v>13760000</v>
          </cell>
        </row>
        <row r="44">
          <cell r="DQ44" t="str">
            <v>B11-L9</v>
          </cell>
          <cell r="DR44">
            <v>13760000</v>
          </cell>
        </row>
        <row r="45">
          <cell r="DQ45" t="str">
            <v>B11-L10</v>
          </cell>
          <cell r="DR45">
            <v>13760000</v>
          </cell>
        </row>
        <row r="46">
          <cell r="DQ46" t="str">
            <v>B11-L11</v>
          </cell>
          <cell r="DR46">
            <v>18650000</v>
          </cell>
        </row>
        <row r="47">
          <cell r="DQ47" t="str">
            <v>B11-L12</v>
          </cell>
          <cell r="DR47">
            <v>13820000</v>
          </cell>
        </row>
        <row r="48">
          <cell r="DQ48" t="str">
            <v>B11-L13</v>
          </cell>
          <cell r="DR48">
            <v>13310000</v>
          </cell>
        </row>
        <row r="49">
          <cell r="DQ49" t="str">
            <v>B11-L14</v>
          </cell>
          <cell r="DR49">
            <v>14510000</v>
          </cell>
        </row>
        <row r="50">
          <cell r="DQ50" t="str">
            <v>B11-L15</v>
          </cell>
          <cell r="DR50">
            <v>13510000</v>
          </cell>
        </row>
        <row r="51">
          <cell r="DQ51" t="str">
            <v>B11-L16</v>
          </cell>
          <cell r="DR51">
            <v>15350000</v>
          </cell>
        </row>
        <row r="52">
          <cell r="DQ52" t="str">
            <v>B13-L2</v>
          </cell>
          <cell r="DR52">
            <v>20770000</v>
          </cell>
        </row>
        <row r="53">
          <cell r="DQ53" t="str">
            <v>B13-L3</v>
          </cell>
          <cell r="DR53">
            <v>17240000</v>
          </cell>
        </row>
        <row r="54">
          <cell r="DQ54" t="str">
            <v>B13-L4</v>
          </cell>
          <cell r="DR54">
            <v>16290000</v>
          </cell>
        </row>
        <row r="55">
          <cell r="DQ55" t="str">
            <v>B13-L5</v>
          </cell>
          <cell r="DR55">
            <v>15680000</v>
          </cell>
        </row>
        <row r="56">
          <cell r="DQ56" t="str">
            <v>B13-L6</v>
          </cell>
          <cell r="DR56">
            <v>13030000</v>
          </cell>
        </row>
        <row r="57">
          <cell r="DQ57" t="str">
            <v>B13-L7</v>
          </cell>
          <cell r="DR57">
            <v>17710000</v>
          </cell>
        </row>
        <row r="58">
          <cell r="DQ58" t="str">
            <v>B13-L8</v>
          </cell>
          <cell r="DR58">
            <v>13290000</v>
          </cell>
        </row>
        <row r="59">
          <cell r="DQ59" t="str">
            <v>B1-L1</v>
          </cell>
          <cell r="DR59">
            <v>13390000</v>
          </cell>
        </row>
        <row r="60">
          <cell r="DQ60" t="str">
            <v>B1-L2</v>
          </cell>
          <cell r="DR60">
            <v>13320000</v>
          </cell>
        </row>
        <row r="61">
          <cell r="DQ61" t="str">
            <v>B1-L3</v>
          </cell>
          <cell r="DR61">
            <v>13630000</v>
          </cell>
        </row>
        <row r="62">
          <cell r="DQ62" t="str">
            <v>B1-L4</v>
          </cell>
          <cell r="DR62">
            <v>10310000</v>
          </cell>
        </row>
        <row r="63">
          <cell r="DQ63" t="str">
            <v>B1-L5</v>
          </cell>
          <cell r="DR63">
            <v>12460000</v>
          </cell>
        </row>
        <row r="64">
          <cell r="DQ64" t="str">
            <v>B1-L6</v>
          </cell>
          <cell r="DR64">
            <v>17920000</v>
          </cell>
        </row>
        <row r="65">
          <cell r="DQ65" t="str">
            <v>B1-L7</v>
          </cell>
          <cell r="DR65">
            <v>15980000</v>
          </cell>
        </row>
        <row r="66">
          <cell r="DQ66" t="str">
            <v>B1-L8</v>
          </cell>
          <cell r="DR66">
            <v>11240000</v>
          </cell>
        </row>
        <row r="67">
          <cell r="DQ67" t="str">
            <v>B1-L9</v>
          </cell>
          <cell r="DR67">
            <v>16100000</v>
          </cell>
        </row>
        <row r="68">
          <cell r="DQ68" t="str">
            <v>B6-L1</v>
          </cell>
          <cell r="DR68">
            <v>15250000</v>
          </cell>
        </row>
        <row r="69">
          <cell r="DQ69" t="str">
            <v>B6-L2</v>
          </cell>
          <cell r="DR69">
            <v>11630000</v>
          </cell>
        </row>
        <row r="70">
          <cell r="DQ70" t="str">
            <v>B6-L3</v>
          </cell>
          <cell r="DR70">
            <v>14830000</v>
          </cell>
        </row>
        <row r="71">
          <cell r="DQ71" t="str">
            <v>B6-L4</v>
          </cell>
          <cell r="DR71">
            <v>21500000</v>
          </cell>
        </row>
        <row r="72">
          <cell r="DQ72" t="str">
            <v>B6-L5</v>
          </cell>
          <cell r="DR72">
            <v>14720000</v>
          </cell>
        </row>
        <row r="73">
          <cell r="DQ73" t="str">
            <v>B6-L6</v>
          </cell>
          <cell r="DR73">
            <v>11890000</v>
          </cell>
        </row>
        <row r="74">
          <cell r="DQ74" t="str">
            <v>B6-L7</v>
          </cell>
          <cell r="DR74">
            <v>13800000</v>
          </cell>
        </row>
        <row r="75">
          <cell r="DQ75" t="str">
            <v>B6-L8</v>
          </cell>
          <cell r="DR75">
            <v>13260000</v>
          </cell>
        </row>
        <row r="76">
          <cell r="DQ76" t="str">
            <v>B6-L9</v>
          </cell>
          <cell r="DR76">
            <v>13890000</v>
          </cell>
        </row>
        <row r="77">
          <cell r="DQ77" t="str">
            <v>B6-L10</v>
          </cell>
          <cell r="DR77">
            <v>17500000</v>
          </cell>
        </row>
        <row r="78">
          <cell r="DQ78" t="str">
            <v>B6-L11</v>
          </cell>
          <cell r="DR78">
            <v>10790000</v>
          </cell>
        </row>
        <row r="79">
          <cell r="DQ79" t="str">
            <v>B6-L12</v>
          </cell>
          <cell r="DR79">
            <v>20880000</v>
          </cell>
        </row>
        <row r="80">
          <cell r="DQ80" t="str">
            <v>B16-L2</v>
          </cell>
          <cell r="DR80">
            <v>33140000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Instructions"/>
      <sheetName val="1-Base Price&amp;Parameter"/>
      <sheetName val="2-Lot Tagging"/>
      <sheetName val="FREBAS tally"/>
      <sheetName val="3-Parameter Ref"/>
      <sheetName val="Excel"/>
      <sheetName val="inv"/>
      <sheetName val="PricingParameterValues"/>
    </sheetNames>
    <sheetDataSet>
      <sheetData sheetId="0"/>
      <sheetData sheetId="1"/>
      <sheetData sheetId="2"/>
      <sheetData sheetId="3">
        <row r="14">
          <cell r="DQ14" t="str">
            <v>B2-L1</v>
          </cell>
          <cell r="DR14">
            <v>32310000</v>
          </cell>
        </row>
        <row r="15">
          <cell r="DQ15" t="str">
            <v>B2-L2</v>
          </cell>
          <cell r="DR15">
            <v>29960000</v>
          </cell>
        </row>
        <row r="16">
          <cell r="DQ16" t="str">
            <v>B2-L5</v>
          </cell>
          <cell r="DR16">
            <v>27770000</v>
          </cell>
        </row>
        <row r="17">
          <cell r="DQ17" t="str">
            <v>B2-L6</v>
          </cell>
          <cell r="DR17">
            <v>43180000</v>
          </cell>
        </row>
        <row r="18">
          <cell r="DQ18" t="str">
            <v>B2-L7</v>
          </cell>
          <cell r="DR18">
            <v>42800000</v>
          </cell>
        </row>
        <row r="19">
          <cell r="DQ19" t="str">
            <v>B2-L8</v>
          </cell>
          <cell r="DR19">
            <v>44890000</v>
          </cell>
        </row>
        <row r="20">
          <cell r="DQ20" t="str">
            <v>B2-L9</v>
          </cell>
          <cell r="DR20">
            <v>44800000</v>
          </cell>
        </row>
        <row r="21">
          <cell r="DQ21" t="str">
            <v>B2-L11</v>
          </cell>
          <cell r="DR21">
            <v>39750000</v>
          </cell>
        </row>
        <row r="22">
          <cell r="DQ22" t="str">
            <v>B2-L12</v>
          </cell>
          <cell r="DR22">
            <v>53800000</v>
          </cell>
        </row>
        <row r="23">
          <cell r="DQ23" t="str">
            <v>B2-L13</v>
          </cell>
          <cell r="DR23">
            <v>46070000</v>
          </cell>
        </row>
        <row r="24">
          <cell r="DQ24" t="str">
            <v>B2-L14</v>
          </cell>
          <cell r="DR24">
            <v>35450000</v>
          </cell>
        </row>
        <row r="25">
          <cell r="DQ25" t="str">
            <v>B2-L15</v>
          </cell>
          <cell r="DR25">
            <v>28280000</v>
          </cell>
        </row>
        <row r="26">
          <cell r="DQ26" t="str">
            <v>B2-L16</v>
          </cell>
          <cell r="DR26">
            <v>34880000</v>
          </cell>
        </row>
        <row r="27">
          <cell r="DQ27" t="str">
            <v>B2A-L1</v>
          </cell>
          <cell r="DR27">
            <v>30120000</v>
          </cell>
        </row>
        <row r="28">
          <cell r="DQ28" t="str">
            <v>B2A-L2</v>
          </cell>
          <cell r="DR28">
            <v>35150000</v>
          </cell>
        </row>
        <row r="29">
          <cell r="DQ29" t="str">
            <v>B3-L1</v>
          </cell>
          <cell r="DR29">
            <v>33650000</v>
          </cell>
        </row>
        <row r="30">
          <cell r="DQ30" t="str">
            <v>B3-L2</v>
          </cell>
          <cell r="DR30">
            <v>27610000</v>
          </cell>
        </row>
        <row r="31">
          <cell r="DQ31" t="str">
            <v>B3-L3</v>
          </cell>
          <cell r="DR31">
            <v>24000000</v>
          </cell>
        </row>
        <row r="32">
          <cell r="DQ32" t="str">
            <v>B3-L4</v>
          </cell>
          <cell r="DR32">
            <v>25710000</v>
          </cell>
        </row>
        <row r="33">
          <cell r="DQ33" t="str">
            <v>B3-L5</v>
          </cell>
          <cell r="DR33">
            <v>26630000</v>
          </cell>
        </row>
        <row r="34">
          <cell r="DQ34" t="str">
            <v>B3-L6</v>
          </cell>
          <cell r="DR34">
            <v>26630000</v>
          </cell>
        </row>
        <row r="35">
          <cell r="DQ35" t="str">
            <v>B3-L7</v>
          </cell>
          <cell r="DR35">
            <v>26600000</v>
          </cell>
        </row>
        <row r="36">
          <cell r="DQ36" t="str">
            <v>B3-L8</v>
          </cell>
          <cell r="DR36">
            <v>25740000</v>
          </cell>
        </row>
        <row r="37">
          <cell r="DQ37" t="str">
            <v>B4-L1</v>
          </cell>
          <cell r="DR37">
            <v>31270000</v>
          </cell>
        </row>
        <row r="38">
          <cell r="DQ38" t="str">
            <v>B4-L2</v>
          </cell>
          <cell r="DR38">
            <v>41090000</v>
          </cell>
        </row>
        <row r="39">
          <cell r="DQ39" t="str">
            <v>B4-L3</v>
          </cell>
          <cell r="DR39">
            <v>34120000</v>
          </cell>
        </row>
        <row r="40">
          <cell r="DQ40" t="str">
            <v>B4-L4</v>
          </cell>
          <cell r="DR40">
            <v>31450000</v>
          </cell>
        </row>
        <row r="41">
          <cell r="DQ41" t="str">
            <v>B5-L1</v>
          </cell>
          <cell r="DR41">
            <v>36390000</v>
          </cell>
        </row>
        <row r="42">
          <cell r="DQ42" t="str">
            <v>B5-L2</v>
          </cell>
          <cell r="DR42">
            <v>28130000</v>
          </cell>
        </row>
        <row r="43">
          <cell r="DQ43" t="str">
            <v>B5-L3</v>
          </cell>
          <cell r="DR43">
            <v>24610000</v>
          </cell>
        </row>
        <row r="44">
          <cell r="DQ44" t="str">
            <v>B5-L4</v>
          </cell>
          <cell r="DR44">
            <v>24450000</v>
          </cell>
        </row>
        <row r="45">
          <cell r="DQ45" t="str">
            <v>B5-L5</v>
          </cell>
          <cell r="DR45">
            <v>24850000</v>
          </cell>
        </row>
        <row r="46">
          <cell r="DQ46" t="str">
            <v>B5-L6</v>
          </cell>
          <cell r="DR46">
            <v>28760000</v>
          </cell>
        </row>
        <row r="47">
          <cell r="DQ47" t="str">
            <v>B5-L7</v>
          </cell>
          <cell r="DR47">
            <v>29670000</v>
          </cell>
        </row>
        <row r="48">
          <cell r="DQ48" t="str">
            <v>B5-L8</v>
          </cell>
          <cell r="DR48">
            <v>29880000</v>
          </cell>
        </row>
        <row r="49">
          <cell r="DQ49" t="str">
            <v>B5-L9</v>
          </cell>
          <cell r="DR49">
            <v>29850000</v>
          </cell>
        </row>
        <row r="50">
          <cell r="DQ50" t="str">
            <v>B5-L10</v>
          </cell>
          <cell r="DR50">
            <v>29180000</v>
          </cell>
        </row>
        <row r="51">
          <cell r="DQ51" t="str">
            <v>B5-L11</v>
          </cell>
          <cell r="DR51">
            <v>28140000</v>
          </cell>
        </row>
        <row r="52">
          <cell r="DQ52" t="str">
            <v>B5-L12</v>
          </cell>
          <cell r="DR52">
            <v>30400000</v>
          </cell>
        </row>
        <row r="53">
          <cell r="DQ53" t="str">
            <v>B5-L13</v>
          </cell>
          <cell r="DR53">
            <v>38930000</v>
          </cell>
        </row>
        <row r="54">
          <cell r="DQ54" t="str">
            <v>B5-L14</v>
          </cell>
          <cell r="DR54">
            <v>35220000</v>
          </cell>
        </row>
        <row r="55">
          <cell r="DQ55" t="str">
            <v>B5-L15</v>
          </cell>
          <cell r="DR55">
            <v>30590000</v>
          </cell>
        </row>
        <row r="56">
          <cell r="DQ56" t="str">
            <v>B5-L16</v>
          </cell>
          <cell r="DR56">
            <v>30410000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tain"/>
    </sheetNames>
    <sheetDataSet>
      <sheetData sheetId="0"/>
      <sheetData sheetId="1">
        <row r="11">
          <cell r="A11">
            <v>210855</v>
          </cell>
        </row>
        <row r="17">
          <cell r="B17">
            <v>240060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98"/>
  <sheetViews>
    <sheetView zoomScale="70" zoomScaleNormal="70" workbookViewId="0">
      <pane ySplit="1" topLeftCell="A2" activePane="bottomLeft" state="frozen"/>
      <selection pane="bottomLeft" activeCell="G15" sqref="G15"/>
    </sheetView>
  </sheetViews>
  <sheetFormatPr defaultRowHeight="14.5" x14ac:dyDescent="0.35"/>
  <cols>
    <col min="1" max="1" width="13.54296875" style="5" bestFit="1" customWidth="1"/>
    <col min="2" max="2" width="11.81640625" style="5" bestFit="1" customWidth="1"/>
    <col min="3" max="3" width="24.81640625" style="5" bestFit="1" customWidth="1"/>
    <col min="4" max="4" width="14.1796875" style="5" bestFit="1" customWidth="1"/>
    <col min="5" max="5" width="24.26953125" style="5" bestFit="1" customWidth="1"/>
    <col min="6" max="6" width="21.453125" style="5" customWidth="1"/>
    <col min="7" max="7" width="22.54296875" style="5" customWidth="1"/>
    <col min="8" max="8" width="10.81640625" style="5" bestFit="1" customWidth="1"/>
    <col min="9" max="9" width="19.54296875" style="5" bestFit="1" customWidth="1"/>
    <col min="10" max="10" width="21.81640625" style="5" bestFit="1" customWidth="1"/>
    <col min="11" max="11" width="15.7265625" style="237" bestFit="1" customWidth="1"/>
  </cols>
  <sheetData>
    <row r="1" spans="1:12" x14ac:dyDescent="0.35">
      <c r="A1" s="5" t="s">
        <v>759</v>
      </c>
      <c r="B1" s="5" t="s">
        <v>4</v>
      </c>
      <c r="C1" s="5" t="s">
        <v>5</v>
      </c>
      <c r="D1" s="5" t="s">
        <v>6</v>
      </c>
      <c r="E1" s="5" t="s">
        <v>7</v>
      </c>
      <c r="F1" s="5" t="s">
        <v>756</v>
      </c>
      <c r="G1" s="5" t="s">
        <v>113</v>
      </c>
      <c r="H1" s="5" t="s">
        <v>734</v>
      </c>
      <c r="I1" s="5" t="s">
        <v>753</v>
      </c>
      <c r="J1" s="5" t="s">
        <v>22</v>
      </c>
      <c r="K1" s="237" t="s">
        <v>31</v>
      </c>
    </row>
    <row r="2" spans="1:12" x14ac:dyDescent="0.35">
      <c r="A2" s="5" t="s">
        <v>786</v>
      </c>
      <c r="B2" s="5" t="s">
        <v>100</v>
      </c>
      <c r="C2" s="5" t="s">
        <v>101</v>
      </c>
      <c r="D2" s="5" t="s">
        <v>754</v>
      </c>
      <c r="E2" s="5" t="s">
        <v>755</v>
      </c>
      <c r="F2" s="5">
        <v>1</v>
      </c>
      <c r="G2" s="5">
        <v>1</v>
      </c>
      <c r="H2" s="236">
        <v>204</v>
      </c>
      <c r="I2" s="5" t="s">
        <v>113</v>
      </c>
      <c r="J2" s="5" t="s">
        <v>113</v>
      </c>
      <c r="K2" s="237">
        <v>6279120</v>
      </c>
      <c r="L2" s="145"/>
    </row>
    <row r="3" spans="1:12" x14ac:dyDescent="0.35">
      <c r="A3" s="5" t="s">
        <v>787</v>
      </c>
      <c r="B3" s="5" t="s">
        <v>100</v>
      </c>
      <c r="C3" s="5" t="s">
        <v>101</v>
      </c>
      <c r="D3" s="5" t="s">
        <v>754</v>
      </c>
      <c r="E3" s="5" t="s">
        <v>755</v>
      </c>
      <c r="F3" s="5">
        <v>1</v>
      </c>
      <c r="G3" s="5">
        <v>2</v>
      </c>
      <c r="H3" s="236">
        <v>208</v>
      </c>
      <c r="I3" s="5" t="s">
        <v>113</v>
      </c>
      <c r="J3" s="5" t="s">
        <v>113</v>
      </c>
      <c r="K3" s="237">
        <v>6402240</v>
      </c>
      <c r="L3" s="145"/>
    </row>
    <row r="4" spans="1:12" x14ac:dyDescent="0.35">
      <c r="A4" s="5" t="s">
        <v>788</v>
      </c>
      <c r="B4" s="5" t="s">
        <v>100</v>
      </c>
      <c r="C4" s="5" t="s">
        <v>101</v>
      </c>
      <c r="D4" s="5" t="s">
        <v>754</v>
      </c>
      <c r="E4" s="5" t="s">
        <v>755</v>
      </c>
      <c r="F4" s="5">
        <v>1</v>
      </c>
      <c r="G4" s="5">
        <v>3</v>
      </c>
      <c r="H4" s="236">
        <v>213</v>
      </c>
      <c r="I4" s="5" t="s">
        <v>113</v>
      </c>
      <c r="J4" s="5" t="s">
        <v>113</v>
      </c>
      <c r="K4" s="237">
        <v>6556140</v>
      </c>
      <c r="L4" s="145"/>
    </row>
    <row r="5" spans="1:12" x14ac:dyDescent="0.35">
      <c r="A5" s="5" t="s">
        <v>789</v>
      </c>
      <c r="B5" s="5" t="s">
        <v>100</v>
      </c>
      <c r="C5" s="5" t="s">
        <v>101</v>
      </c>
      <c r="D5" s="5" t="s">
        <v>754</v>
      </c>
      <c r="E5" s="5" t="s">
        <v>755</v>
      </c>
      <c r="F5" s="5">
        <v>1</v>
      </c>
      <c r="G5" s="5">
        <v>4</v>
      </c>
      <c r="H5" s="236">
        <v>217</v>
      </c>
      <c r="I5" s="5" t="s">
        <v>113</v>
      </c>
      <c r="J5" s="5" t="s">
        <v>113</v>
      </c>
      <c r="K5" s="237">
        <v>6679260</v>
      </c>
      <c r="L5" s="145"/>
    </row>
    <row r="6" spans="1:12" x14ac:dyDescent="0.35">
      <c r="A6" s="5" t="s">
        <v>790</v>
      </c>
      <c r="B6" s="5" t="s">
        <v>100</v>
      </c>
      <c r="C6" s="5" t="s">
        <v>101</v>
      </c>
      <c r="D6" s="5" t="s">
        <v>754</v>
      </c>
      <c r="E6" s="5" t="s">
        <v>755</v>
      </c>
      <c r="F6" s="5">
        <v>1</v>
      </c>
      <c r="G6" s="5">
        <v>5</v>
      </c>
      <c r="H6" s="236">
        <v>221</v>
      </c>
      <c r="I6" s="5" t="s">
        <v>113</v>
      </c>
      <c r="J6" s="5" t="s">
        <v>113</v>
      </c>
      <c r="K6" s="237">
        <v>6802380</v>
      </c>
      <c r="L6" s="145"/>
    </row>
    <row r="7" spans="1:12" x14ac:dyDescent="0.35">
      <c r="A7" s="5" t="s">
        <v>791</v>
      </c>
      <c r="B7" s="5" t="s">
        <v>100</v>
      </c>
      <c r="C7" s="5" t="s">
        <v>101</v>
      </c>
      <c r="D7" s="5" t="s">
        <v>754</v>
      </c>
      <c r="E7" s="5" t="s">
        <v>755</v>
      </c>
      <c r="F7" s="5">
        <v>1</v>
      </c>
      <c r="G7" s="5">
        <v>6</v>
      </c>
      <c r="H7" s="236">
        <v>225</v>
      </c>
      <c r="I7" s="5" t="s">
        <v>113</v>
      </c>
      <c r="J7" s="5" t="s">
        <v>113</v>
      </c>
      <c r="K7" s="237">
        <v>6925500</v>
      </c>
      <c r="L7" s="145"/>
    </row>
    <row r="8" spans="1:12" x14ac:dyDescent="0.35">
      <c r="A8" s="5" t="s">
        <v>792</v>
      </c>
      <c r="B8" s="5" t="s">
        <v>100</v>
      </c>
      <c r="C8" s="5" t="s">
        <v>101</v>
      </c>
      <c r="D8" s="5" t="s">
        <v>754</v>
      </c>
      <c r="E8" s="5" t="s">
        <v>755</v>
      </c>
      <c r="F8" s="5">
        <v>1</v>
      </c>
      <c r="G8" s="5">
        <v>7</v>
      </c>
      <c r="H8" s="236">
        <v>229</v>
      </c>
      <c r="I8" s="5" t="s">
        <v>113</v>
      </c>
      <c r="J8" s="5" t="s">
        <v>113</v>
      </c>
      <c r="K8" s="237">
        <v>7048620</v>
      </c>
      <c r="L8" s="145"/>
    </row>
    <row r="9" spans="1:12" x14ac:dyDescent="0.35">
      <c r="A9" s="5" t="s">
        <v>793</v>
      </c>
      <c r="B9" s="5" t="s">
        <v>100</v>
      </c>
      <c r="C9" s="5" t="s">
        <v>101</v>
      </c>
      <c r="D9" s="5" t="s">
        <v>754</v>
      </c>
      <c r="E9" s="5" t="s">
        <v>755</v>
      </c>
      <c r="F9" s="5">
        <v>1</v>
      </c>
      <c r="G9" s="5">
        <v>8</v>
      </c>
      <c r="H9" s="236">
        <v>233</v>
      </c>
      <c r="I9" s="5" t="s">
        <v>113</v>
      </c>
      <c r="J9" s="5" t="s">
        <v>113</v>
      </c>
      <c r="K9" s="237">
        <v>7171740</v>
      </c>
      <c r="L9" s="145"/>
    </row>
    <row r="10" spans="1:12" x14ac:dyDescent="0.35">
      <c r="A10" s="5" t="s">
        <v>794</v>
      </c>
      <c r="B10" s="5" t="s">
        <v>100</v>
      </c>
      <c r="C10" s="5" t="s">
        <v>101</v>
      </c>
      <c r="D10" s="5" t="s">
        <v>754</v>
      </c>
      <c r="E10" s="5" t="s">
        <v>755</v>
      </c>
      <c r="F10" s="5">
        <v>1</v>
      </c>
      <c r="G10" s="5">
        <v>9</v>
      </c>
      <c r="H10" s="236">
        <v>237</v>
      </c>
      <c r="I10" s="5" t="s">
        <v>113</v>
      </c>
      <c r="J10" s="5" t="s">
        <v>113</v>
      </c>
      <c r="K10" s="237">
        <v>7294860</v>
      </c>
      <c r="L10" s="145"/>
    </row>
    <row r="11" spans="1:12" x14ac:dyDescent="0.35">
      <c r="A11" s="5" t="s">
        <v>795</v>
      </c>
      <c r="B11" s="5" t="s">
        <v>100</v>
      </c>
      <c r="C11" s="5" t="s">
        <v>101</v>
      </c>
      <c r="D11" s="5" t="s">
        <v>754</v>
      </c>
      <c r="E11" s="5" t="s">
        <v>755</v>
      </c>
      <c r="F11" s="5">
        <v>1</v>
      </c>
      <c r="G11" s="5">
        <v>10</v>
      </c>
      <c r="H11" s="236">
        <v>242</v>
      </c>
      <c r="I11" s="5" t="s">
        <v>113</v>
      </c>
      <c r="J11" s="5" t="s">
        <v>113</v>
      </c>
      <c r="K11" s="237">
        <v>7448760</v>
      </c>
      <c r="L11" s="145"/>
    </row>
    <row r="12" spans="1:12" x14ac:dyDescent="0.35">
      <c r="A12" s="5" t="s">
        <v>796</v>
      </c>
      <c r="B12" s="5" t="s">
        <v>100</v>
      </c>
      <c r="C12" s="5" t="s">
        <v>101</v>
      </c>
      <c r="D12" s="5" t="s">
        <v>754</v>
      </c>
      <c r="E12" s="5" t="s">
        <v>755</v>
      </c>
      <c r="F12" s="5">
        <v>1</v>
      </c>
      <c r="G12" s="5">
        <v>11</v>
      </c>
      <c r="H12" s="236">
        <v>246</v>
      </c>
      <c r="I12" s="5" t="s">
        <v>113</v>
      </c>
      <c r="J12" s="5" t="s">
        <v>113</v>
      </c>
      <c r="K12" s="237">
        <v>5889240</v>
      </c>
      <c r="L12" s="145"/>
    </row>
    <row r="13" spans="1:12" x14ac:dyDescent="0.35">
      <c r="A13" s="5" t="s">
        <v>797</v>
      </c>
      <c r="B13" s="5" t="s">
        <v>100</v>
      </c>
      <c r="C13" s="5" t="s">
        <v>101</v>
      </c>
      <c r="D13" s="5" t="s">
        <v>754</v>
      </c>
      <c r="E13" s="5" t="s">
        <v>755</v>
      </c>
      <c r="F13" s="5">
        <v>1</v>
      </c>
      <c r="G13" s="5">
        <v>12</v>
      </c>
      <c r="H13" s="236">
        <v>398</v>
      </c>
      <c r="I13" s="5" t="s">
        <v>113</v>
      </c>
      <c r="J13" s="5" t="s">
        <v>113</v>
      </c>
      <c r="K13" s="237">
        <v>11569860</v>
      </c>
      <c r="L13" s="145"/>
    </row>
    <row r="14" spans="1:12" x14ac:dyDescent="0.35">
      <c r="A14" s="5" t="s">
        <v>798</v>
      </c>
      <c r="B14" s="5" t="s">
        <v>100</v>
      </c>
      <c r="C14" s="5" t="s">
        <v>101</v>
      </c>
      <c r="D14" s="5" t="s">
        <v>754</v>
      </c>
      <c r="E14" s="5" t="s">
        <v>755</v>
      </c>
      <c r="F14" s="5">
        <v>1</v>
      </c>
      <c r="G14" s="5">
        <v>13</v>
      </c>
      <c r="H14" s="236">
        <v>326</v>
      </c>
      <c r="I14" s="5" t="s">
        <v>113</v>
      </c>
      <c r="J14" s="5" t="s">
        <v>113</v>
      </c>
      <c r="K14" s="237">
        <v>11149200</v>
      </c>
      <c r="L14" s="145"/>
    </row>
    <row r="15" spans="1:12" x14ac:dyDescent="0.35">
      <c r="A15" s="5" t="s">
        <v>799</v>
      </c>
      <c r="B15" s="5" t="s">
        <v>100</v>
      </c>
      <c r="C15" s="5" t="s">
        <v>101</v>
      </c>
      <c r="D15" s="5" t="s">
        <v>754</v>
      </c>
      <c r="E15" s="5" t="s">
        <v>755</v>
      </c>
      <c r="F15" s="5">
        <v>1</v>
      </c>
      <c r="G15" s="5">
        <v>14</v>
      </c>
      <c r="H15" s="236">
        <v>216</v>
      </c>
      <c r="I15" s="5" t="s">
        <v>113</v>
      </c>
      <c r="J15" s="5" t="s">
        <v>113</v>
      </c>
      <c r="K15" s="237">
        <v>7387200</v>
      </c>
      <c r="L15" s="145"/>
    </row>
    <row r="16" spans="1:12" x14ac:dyDescent="0.35">
      <c r="A16" s="5" t="s">
        <v>800</v>
      </c>
      <c r="B16" s="5" t="s">
        <v>100</v>
      </c>
      <c r="C16" s="5" t="s">
        <v>101</v>
      </c>
      <c r="D16" s="5" t="s">
        <v>754</v>
      </c>
      <c r="E16" s="5" t="s">
        <v>755</v>
      </c>
      <c r="F16" s="5">
        <v>1</v>
      </c>
      <c r="G16" s="5">
        <v>15</v>
      </c>
      <c r="H16" s="236">
        <v>216</v>
      </c>
      <c r="I16" s="5" t="s">
        <v>113</v>
      </c>
      <c r="J16" s="5" t="s">
        <v>113</v>
      </c>
      <c r="K16" s="237">
        <v>7387200</v>
      </c>
      <c r="L16" s="145"/>
    </row>
    <row r="17" spans="1:12" x14ac:dyDescent="0.35">
      <c r="A17" s="5" t="s">
        <v>801</v>
      </c>
      <c r="B17" s="5" t="s">
        <v>100</v>
      </c>
      <c r="C17" s="5" t="s">
        <v>101</v>
      </c>
      <c r="D17" s="5" t="s">
        <v>754</v>
      </c>
      <c r="E17" s="5" t="s">
        <v>755</v>
      </c>
      <c r="F17" s="5">
        <v>1</v>
      </c>
      <c r="G17" s="5">
        <v>16</v>
      </c>
      <c r="H17" s="236">
        <v>216</v>
      </c>
      <c r="I17" s="5" t="s">
        <v>113</v>
      </c>
      <c r="J17" s="5" t="s">
        <v>113</v>
      </c>
      <c r="K17" s="237">
        <v>5909760</v>
      </c>
      <c r="L17" s="145"/>
    </row>
    <row r="18" spans="1:12" x14ac:dyDescent="0.35">
      <c r="A18" s="5" t="s">
        <v>802</v>
      </c>
      <c r="B18" s="5" t="s">
        <v>100</v>
      </c>
      <c r="C18" s="5" t="s">
        <v>101</v>
      </c>
      <c r="D18" s="5" t="s">
        <v>754</v>
      </c>
      <c r="E18" s="5" t="s">
        <v>755</v>
      </c>
      <c r="F18" s="5">
        <v>1</v>
      </c>
      <c r="G18" s="5">
        <v>17</v>
      </c>
      <c r="H18" s="236">
        <v>216</v>
      </c>
      <c r="I18" s="5" t="s">
        <v>113</v>
      </c>
      <c r="J18" s="5" t="s">
        <v>113</v>
      </c>
      <c r="K18" s="237">
        <v>7387200</v>
      </c>
      <c r="L18" s="145"/>
    </row>
    <row r="19" spans="1:12" x14ac:dyDescent="0.35">
      <c r="A19" s="5" t="s">
        <v>803</v>
      </c>
      <c r="B19" s="5" t="s">
        <v>100</v>
      </c>
      <c r="C19" s="5" t="s">
        <v>101</v>
      </c>
      <c r="D19" s="5" t="s">
        <v>754</v>
      </c>
      <c r="E19" s="5" t="s">
        <v>755</v>
      </c>
      <c r="F19" s="5">
        <v>1</v>
      </c>
      <c r="G19" s="5">
        <v>18</v>
      </c>
      <c r="H19" s="236">
        <v>216</v>
      </c>
      <c r="I19" s="5" t="s">
        <v>113</v>
      </c>
      <c r="J19" s="5" t="s">
        <v>113</v>
      </c>
      <c r="K19" s="237">
        <v>7387200</v>
      </c>
      <c r="L19" s="145"/>
    </row>
    <row r="20" spans="1:12" x14ac:dyDescent="0.35">
      <c r="A20" s="5" t="s">
        <v>804</v>
      </c>
      <c r="B20" s="5" t="s">
        <v>100</v>
      </c>
      <c r="C20" s="5" t="s">
        <v>101</v>
      </c>
      <c r="D20" s="5" t="s">
        <v>754</v>
      </c>
      <c r="E20" s="5" t="s">
        <v>755</v>
      </c>
      <c r="F20" s="5">
        <v>1</v>
      </c>
      <c r="G20" s="5">
        <v>19</v>
      </c>
      <c r="H20" s="236">
        <v>216</v>
      </c>
      <c r="I20" s="5" t="s">
        <v>113</v>
      </c>
      <c r="J20" s="5" t="s">
        <v>113</v>
      </c>
      <c r="K20" s="237">
        <v>7387200</v>
      </c>
      <c r="L20" s="145"/>
    </row>
    <row r="21" spans="1:12" x14ac:dyDescent="0.35">
      <c r="A21" s="5" t="s">
        <v>805</v>
      </c>
      <c r="B21" s="5" t="s">
        <v>100</v>
      </c>
      <c r="C21" s="5" t="s">
        <v>101</v>
      </c>
      <c r="D21" s="5" t="s">
        <v>754</v>
      </c>
      <c r="E21" s="5" t="s">
        <v>755</v>
      </c>
      <c r="F21" s="5">
        <v>1</v>
      </c>
      <c r="G21" s="5">
        <v>20</v>
      </c>
      <c r="H21" s="236">
        <v>216</v>
      </c>
      <c r="I21" s="5" t="s">
        <v>113</v>
      </c>
      <c r="J21" s="5" t="s">
        <v>113</v>
      </c>
      <c r="K21" s="237">
        <v>5909760</v>
      </c>
      <c r="L21" s="145"/>
    </row>
    <row r="22" spans="1:12" x14ac:dyDescent="0.35">
      <c r="A22" s="5" t="s">
        <v>806</v>
      </c>
      <c r="B22" s="5" t="s">
        <v>100</v>
      </c>
      <c r="C22" s="5" t="s">
        <v>101</v>
      </c>
      <c r="D22" s="5" t="s">
        <v>754</v>
      </c>
      <c r="E22" s="5" t="s">
        <v>755</v>
      </c>
      <c r="F22" s="5">
        <v>1</v>
      </c>
      <c r="G22" s="5">
        <v>21</v>
      </c>
      <c r="H22" s="236">
        <v>216</v>
      </c>
      <c r="I22" s="5" t="s">
        <v>113</v>
      </c>
      <c r="J22" s="5" t="s">
        <v>113</v>
      </c>
      <c r="K22" s="237">
        <v>7387200</v>
      </c>
      <c r="L22" s="145"/>
    </row>
    <row r="23" spans="1:12" x14ac:dyDescent="0.35">
      <c r="A23" s="5" t="s">
        <v>807</v>
      </c>
      <c r="B23" s="5" t="s">
        <v>100</v>
      </c>
      <c r="C23" s="5" t="s">
        <v>101</v>
      </c>
      <c r="D23" s="5" t="s">
        <v>754</v>
      </c>
      <c r="E23" s="5" t="s">
        <v>755</v>
      </c>
      <c r="F23" s="5">
        <v>1</v>
      </c>
      <c r="G23" s="5">
        <v>22</v>
      </c>
      <c r="H23" s="236">
        <v>216</v>
      </c>
      <c r="I23" s="5" t="s">
        <v>113</v>
      </c>
      <c r="J23" s="5" t="s">
        <v>113</v>
      </c>
      <c r="K23" s="237">
        <v>7387200</v>
      </c>
      <c r="L23" s="145"/>
    </row>
    <row r="24" spans="1:12" x14ac:dyDescent="0.35">
      <c r="A24" s="5" t="s">
        <v>808</v>
      </c>
      <c r="B24" s="5" t="s">
        <v>100</v>
      </c>
      <c r="C24" s="5" t="s">
        <v>101</v>
      </c>
      <c r="D24" s="5" t="s">
        <v>754</v>
      </c>
      <c r="E24" s="5" t="s">
        <v>755</v>
      </c>
      <c r="F24" s="5">
        <v>1</v>
      </c>
      <c r="G24" s="5">
        <v>23</v>
      </c>
      <c r="H24" s="236">
        <v>216</v>
      </c>
      <c r="I24" s="5" t="s">
        <v>113</v>
      </c>
      <c r="J24" s="5" t="s">
        <v>113</v>
      </c>
      <c r="K24" s="237">
        <v>7387200</v>
      </c>
      <c r="L24" s="145"/>
    </row>
    <row r="25" spans="1:12" x14ac:dyDescent="0.35">
      <c r="A25" s="5" t="s">
        <v>809</v>
      </c>
      <c r="B25" s="5" t="s">
        <v>100</v>
      </c>
      <c r="C25" s="5" t="s">
        <v>101</v>
      </c>
      <c r="D25" s="5" t="s">
        <v>754</v>
      </c>
      <c r="E25" s="5" t="s">
        <v>755</v>
      </c>
      <c r="F25" s="5">
        <v>1</v>
      </c>
      <c r="G25" s="5">
        <v>24</v>
      </c>
      <c r="H25" s="236">
        <v>216</v>
      </c>
      <c r="I25" s="5" t="s">
        <v>113</v>
      </c>
      <c r="J25" s="5" t="s">
        <v>113</v>
      </c>
      <c r="K25" s="237">
        <v>7387200</v>
      </c>
      <c r="L25" s="145"/>
    </row>
    <row r="26" spans="1:12" x14ac:dyDescent="0.35">
      <c r="A26" s="5" t="s">
        <v>810</v>
      </c>
      <c r="B26" s="5" t="s">
        <v>100</v>
      </c>
      <c r="C26" s="5" t="s">
        <v>101</v>
      </c>
      <c r="D26" s="5" t="s">
        <v>754</v>
      </c>
      <c r="E26" s="5" t="s">
        <v>755</v>
      </c>
      <c r="F26" s="5">
        <v>1</v>
      </c>
      <c r="G26" s="5">
        <v>25</v>
      </c>
      <c r="H26" s="236">
        <v>216</v>
      </c>
      <c r="I26" s="5" t="s">
        <v>113</v>
      </c>
      <c r="J26" s="5" t="s">
        <v>113</v>
      </c>
      <c r="K26" s="237">
        <v>7387200</v>
      </c>
      <c r="L26" s="145"/>
    </row>
    <row r="27" spans="1:12" x14ac:dyDescent="0.35">
      <c r="A27" s="5" t="s">
        <v>811</v>
      </c>
      <c r="B27" s="5" t="s">
        <v>100</v>
      </c>
      <c r="C27" s="5" t="s">
        <v>101</v>
      </c>
      <c r="D27" s="5" t="s">
        <v>754</v>
      </c>
      <c r="E27" s="5" t="s">
        <v>755</v>
      </c>
      <c r="F27" s="5">
        <v>1</v>
      </c>
      <c r="G27" s="5">
        <v>26</v>
      </c>
      <c r="H27" s="236">
        <v>403</v>
      </c>
      <c r="I27" s="5" t="s">
        <v>113</v>
      </c>
      <c r="J27" s="5" t="s">
        <v>113</v>
      </c>
      <c r="K27" s="237">
        <v>13093470</v>
      </c>
      <c r="L27" s="145"/>
    </row>
    <row r="28" spans="1:12" x14ac:dyDescent="0.35">
      <c r="A28" s="5" t="s">
        <v>852</v>
      </c>
      <c r="B28" s="5" t="s">
        <v>100</v>
      </c>
      <c r="C28" s="5" t="s">
        <v>101</v>
      </c>
      <c r="D28" s="5" t="s">
        <v>754</v>
      </c>
      <c r="E28" s="5" t="s">
        <v>755</v>
      </c>
      <c r="F28" s="5">
        <v>1</v>
      </c>
      <c r="G28" s="5">
        <v>27</v>
      </c>
      <c r="H28" s="236">
        <v>442</v>
      </c>
      <c r="I28" s="5" t="s">
        <v>113</v>
      </c>
      <c r="J28" s="5" t="s">
        <v>113</v>
      </c>
      <c r="K28" s="237">
        <v>16628040</v>
      </c>
      <c r="L28" s="145"/>
    </row>
    <row r="29" spans="1:12" x14ac:dyDescent="0.35">
      <c r="A29" s="5" t="s">
        <v>853</v>
      </c>
      <c r="B29" s="5" t="s">
        <v>100</v>
      </c>
      <c r="C29" s="5" t="s">
        <v>101</v>
      </c>
      <c r="D29" s="5" t="s">
        <v>754</v>
      </c>
      <c r="E29" s="5" t="s">
        <v>755</v>
      </c>
      <c r="F29" s="5">
        <v>1</v>
      </c>
      <c r="G29" s="5">
        <v>28</v>
      </c>
      <c r="H29" s="236">
        <v>293</v>
      </c>
      <c r="I29" s="5" t="s">
        <v>113</v>
      </c>
      <c r="J29" s="5" t="s">
        <v>113</v>
      </c>
      <c r="K29" s="237">
        <v>11523690</v>
      </c>
      <c r="L29" s="145"/>
    </row>
    <row r="30" spans="1:12" x14ac:dyDescent="0.35">
      <c r="A30" s="5" t="s">
        <v>854</v>
      </c>
      <c r="B30" s="5" t="s">
        <v>100</v>
      </c>
      <c r="C30" s="5" t="s">
        <v>101</v>
      </c>
      <c r="D30" s="5" t="s">
        <v>754</v>
      </c>
      <c r="E30" s="5" t="s">
        <v>755</v>
      </c>
      <c r="F30" s="5">
        <v>1</v>
      </c>
      <c r="G30" s="5">
        <v>29</v>
      </c>
      <c r="H30" s="236">
        <v>278</v>
      </c>
      <c r="I30" s="5" t="s">
        <v>113</v>
      </c>
      <c r="J30" s="5" t="s">
        <v>113</v>
      </c>
      <c r="K30" s="237">
        <v>10933740</v>
      </c>
      <c r="L30" s="145"/>
    </row>
    <row r="31" spans="1:12" x14ac:dyDescent="0.35">
      <c r="A31" s="5" t="s">
        <v>855</v>
      </c>
      <c r="B31" s="5" t="s">
        <v>100</v>
      </c>
      <c r="C31" s="5" t="s">
        <v>101</v>
      </c>
      <c r="D31" s="5" t="s">
        <v>754</v>
      </c>
      <c r="E31" s="5" t="s">
        <v>755</v>
      </c>
      <c r="F31" s="5">
        <v>1</v>
      </c>
      <c r="G31" s="5">
        <v>30</v>
      </c>
      <c r="H31" s="236">
        <v>262</v>
      </c>
      <c r="I31" s="5" t="s">
        <v>113</v>
      </c>
      <c r="J31" s="5" t="s">
        <v>113</v>
      </c>
      <c r="K31" s="237">
        <v>10304460</v>
      </c>
      <c r="L31" s="145"/>
    </row>
    <row r="32" spans="1:12" x14ac:dyDescent="0.35">
      <c r="A32" s="5" t="s">
        <v>856</v>
      </c>
      <c r="B32" s="5" t="s">
        <v>100</v>
      </c>
      <c r="C32" s="5" t="s">
        <v>101</v>
      </c>
      <c r="D32" s="5" t="s">
        <v>754</v>
      </c>
      <c r="E32" s="5" t="s">
        <v>755</v>
      </c>
      <c r="F32" s="5">
        <v>1</v>
      </c>
      <c r="G32" s="5">
        <v>31</v>
      </c>
      <c r="H32" s="236">
        <v>247</v>
      </c>
      <c r="I32" s="5" t="s">
        <v>113</v>
      </c>
      <c r="J32" s="5" t="s">
        <v>113</v>
      </c>
      <c r="K32" s="237">
        <v>9714510</v>
      </c>
      <c r="L32" s="145"/>
    </row>
    <row r="33" spans="1:12" x14ac:dyDescent="0.35">
      <c r="A33" s="5" t="s">
        <v>857</v>
      </c>
      <c r="B33" s="5" t="s">
        <v>100</v>
      </c>
      <c r="C33" s="5" t="s">
        <v>101</v>
      </c>
      <c r="D33" s="5" t="s">
        <v>754</v>
      </c>
      <c r="E33" s="5" t="s">
        <v>755</v>
      </c>
      <c r="F33" s="5">
        <v>1</v>
      </c>
      <c r="G33" s="5">
        <v>32</v>
      </c>
      <c r="H33" s="236">
        <v>231</v>
      </c>
      <c r="I33" s="5" t="s">
        <v>113</v>
      </c>
      <c r="J33" s="5" t="s">
        <v>113</v>
      </c>
      <c r="K33" s="237">
        <v>9085230</v>
      </c>
      <c r="L33" s="145"/>
    </row>
    <row r="34" spans="1:12" x14ac:dyDescent="0.35">
      <c r="A34" s="5" t="s">
        <v>858</v>
      </c>
      <c r="B34" s="5" t="s">
        <v>100</v>
      </c>
      <c r="C34" s="5" t="s">
        <v>101</v>
      </c>
      <c r="D34" s="5" t="s">
        <v>754</v>
      </c>
      <c r="E34" s="5" t="s">
        <v>755</v>
      </c>
      <c r="F34" s="5">
        <v>1</v>
      </c>
      <c r="G34" s="5">
        <v>33</v>
      </c>
      <c r="H34" s="236">
        <v>225</v>
      </c>
      <c r="I34" s="5" t="s">
        <v>113</v>
      </c>
      <c r="J34" s="5" t="s">
        <v>113</v>
      </c>
      <c r="K34" s="237">
        <v>8849250</v>
      </c>
      <c r="L34" s="145"/>
    </row>
    <row r="35" spans="1:12" x14ac:dyDescent="0.35">
      <c r="A35" s="5" t="s">
        <v>859</v>
      </c>
      <c r="B35" s="5" t="s">
        <v>100</v>
      </c>
      <c r="C35" s="5" t="s">
        <v>101</v>
      </c>
      <c r="D35" s="5" t="s">
        <v>754</v>
      </c>
      <c r="E35" s="5" t="s">
        <v>755</v>
      </c>
      <c r="F35" s="5">
        <v>1</v>
      </c>
      <c r="G35" s="5">
        <v>34</v>
      </c>
      <c r="H35" s="236">
        <v>201</v>
      </c>
      <c r="I35" s="5" t="s">
        <v>113</v>
      </c>
      <c r="J35" s="5" t="s">
        <v>113</v>
      </c>
      <c r="K35" s="237">
        <v>7905330</v>
      </c>
      <c r="L35" s="145"/>
    </row>
    <row r="36" spans="1:12" x14ac:dyDescent="0.35">
      <c r="A36" s="5" t="s">
        <v>860</v>
      </c>
      <c r="B36" s="5" t="s">
        <v>100</v>
      </c>
      <c r="C36" s="5" t="s">
        <v>101</v>
      </c>
      <c r="D36" s="5" t="s">
        <v>754</v>
      </c>
      <c r="E36" s="5" t="s">
        <v>755</v>
      </c>
      <c r="F36" s="5">
        <v>1</v>
      </c>
      <c r="G36" s="5">
        <v>35</v>
      </c>
      <c r="H36" s="236">
        <v>205</v>
      </c>
      <c r="I36" s="5" t="s">
        <v>113</v>
      </c>
      <c r="J36" s="5" t="s">
        <v>113</v>
      </c>
      <c r="K36" s="237">
        <v>8062650</v>
      </c>
      <c r="L36" s="145"/>
    </row>
    <row r="37" spans="1:12" x14ac:dyDescent="0.35">
      <c r="A37" s="5" t="s">
        <v>861</v>
      </c>
      <c r="B37" s="5" t="s">
        <v>100</v>
      </c>
      <c r="C37" s="5" t="s">
        <v>101</v>
      </c>
      <c r="D37" s="5" t="s">
        <v>754</v>
      </c>
      <c r="E37" s="5" t="s">
        <v>755</v>
      </c>
      <c r="F37" s="5">
        <v>1</v>
      </c>
      <c r="G37" s="5">
        <v>36</v>
      </c>
      <c r="H37" s="236">
        <v>237</v>
      </c>
      <c r="I37" s="5" t="s">
        <v>113</v>
      </c>
      <c r="J37" s="5" t="s">
        <v>113</v>
      </c>
      <c r="K37" s="237">
        <v>9321210</v>
      </c>
      <c r="L37" s="145"/>
    </row>
    <row r="38" spans="1:12" x14ac:dyDescent="0.35">
      <c r="A38" s="5" t="s">
        <v>862</v>
      </c>
      <c r="B38" s="5" t="s">
        <v>100</v>
      </c>
      <c r="C38" s="5" t="s">
        <v>101</v>
      </c>
      <c r="D38" s="5" t="s">
        <v>754</v>
      </c>
      <c r="E38" s="5" t="s">
        <v>755</v>
      </c>
      <c r="F38" s="5">
        <v>2</v>
      </c>
      <c r="G38" s="5">
        <v>1</v>
      </c>
      <c r="H38" s="236">
        <v>323</v>
      </c>
      <c r="I38" s="5" t="s">
        <v>113</v>
      </c>
      <c r="J38" s="5" t="s">
        <v>113</v>
      </c>
      <c r="K38" s="237">
        <v>13808250</v>
      </c>
      <c r="L38" s="145"/>
    </row>
    <row r="39" spans="1:12" x14ac:dyDescent="0.35">
      <c r="A39" s="5" t="s">
        <v>849</v>
      </c>
      <c r="B39" s="5" t="s">
        <v>100</v>
      </c>
      <c r="C39" s="5" t="s">
        <v>101</v>
      </c>
      <c r="D39" s="5" t="s">
        <v>754</v>
      </c>
      <c r="E39" s="5" t="s">
        <v>755</v>
      </c>
      <c r="F39" s="5">
        <v>2</v>
      </c>
      <c r="G39" s="5">
        <v>2</v>
      </c>
      <c r="H39" s="236">
        <v>223</v>
      </c>
      <c r="I39" s="5" t="s">
        <v>113</v>
      </c>
      <c r="J39" s="5" t="s">
        <v>113</v>
      </c>
      <c r="K39" s="237">
        <v>8770590</v>
      </c>
      <c r="L39" s="145"/>
    </row>
    <row r="40" spans="1:12" x14ac:dyDescent="0.35">
      <c r="A40" s="5" t="s">
        <v>863</v>
      </c>
      <c r="B40" s="5" t="s">
        <v>100</v>
      </c>
      <c r="C40" s="5" t="s">
        <v>101</v>
      </c>
      <c r="D40" s="5" t="s">
        <v>754</v>
      </c>
      <c r="E40" s="5" t="s">
        <v>755</v>
      </c>
      <c r="F40" s="5">
        <v>2</v>
      </c>
      <c r="G40" s="5">
        <v>3</v>
      </c>
      <c r="H40" s="236">
        <v>232</v>
      </c>
      <c r="I40" s="5" t="s">
        <v>113</v>
      </c>
      <c r="J40" s="5" t="s">
        <v>113</v>
      </c>
      <c r="K40" s="237">
        <v>9124560</v>
      </c>
      <c r="L40" s="145"/>
    </row>
    <row r="41" spans="1:12" x14ac:dyDescent="0.35">
      <c r="A41" s="5" t="s">
        <v>850</v>
      </c>
      <c r="B41" s="5" t="s">
        <v>100</v>
      </c>
      <c r="C41" s="5" t="s">
        <v>101</v>
      </c>
      <c r="D41" s="5" t="s">
        <v>754</v>
      </c>
      <c r="E41" s="5" t="s">
        <v>755</v>
      </c>
      <c r="F41" s="5">
        <v>2</v>
      </c>
      <c r="G41" s="5">
        <v>4</v>
      </c>
      <c r="H41" s="236">
        <v>168</v>
      </c>
      <c r="I41" s="5" t="s">
        <v>113</v>
      </c>
      <c r="J41" s="5" t="s">
        <v>113</v>
      </c>
      <c r="K41" s="237">
        <v>6032880</v>
      </c>
      <c r="L41" s="145"/>
    </row>
    <row r="42" spans="1:12" x14ac:dyDescent="0.35">
      <c r="A42" s="5" t="s">
        <v>864</v>
      </c>
      <c r="B42" s="5" t="s">
        <v>100</v>
      </c>
      <c r="C42" s="5" t="s">
        <v>101</v>
      </c>
      <c r="D42" s="5" t="s">
        <v>754</v>
      </c>
      <c r="E42" s="5" t="s">
        <v>755</v>
      </c>
      <c r="F42" s="5">
        <v>2</v>
      </c>
      <c r="G42" s="5">
        <v>5</v>
      </c>
      <c r="H42" s="236">
        <v>238</v>
      </c>
      <c r="I42" s="5" t="s">
        <v>113</v>
      </c>
      <c r="J42" s="5" t="s">
        <v>113</v>
      </c>
      <c r="K42" s="237">
        <v>9360540</v>
      </c>
      <c r="L42" s="145"/>
    </row>
    <row r="43" spans="1:12" x14ac:dyDescent="0.35">
      <c r="A43" s="5" t="s">
        <v>865</v>
      </c>
      <c r="B43" s="5" t="s">
        <v>100</v>
      </c>
      <c r="C43" s="5" t="s">
        <v>101</v>
      </c>
      <c r="D43" s="5" t="s">
        <v>754</v>
      </c>
      <c r="E43" s="5" t="s">
        <v>755</v>
      </c>
      <c r="F43" s="5">
        <v>2</v>
      </c>
      <c r="G43" s="5">
        <v>6</v>
      </c>
      <c r="H43" s="236">
        <v>168</v>
      </c>
      <c r="I43" s="5" t="s">
        <v>113</v>
      </c>
      <c r="J43" s="5" t="s">
        <v>113</v>
      </c>
      <c r="K43" s="237">
        <v>5745600</v>
      </c>
      <c r="L43" s="145"/>
    </row>
    <row r="44" spans="1:12" x14ac:dyDescent="0.35">
      <c r="A44" s="5" t="s">
        <v>866</v>
      </c>
      <c r="B44" s="5" t="s">
        <v>100</v>
      </c>
      <c r="C44" s="5" t="s">
        <v>101</v>
      </c>
      <c r="D44" s="5" t="s">
        <v>754</v>
      </c>
      <c r="E44" s="5" t="s">
        <v>755</v>
      </c>
      <c r="F44" s="5">
        <v>2</v>
      </c>
      <c r="G44" s="5">
        <v>7</v>
      </c>
      <c r="H44" s="236">
        <v>245</v>
      </c>
      <c r="I44" s="5" t="s">
        <v>113</v>
      </c>
      <c r="J44" s="5" t="s">
        <v>113</v>
      </c>
      <c r="K44" s="237">
        <v>9635850</v>
      </c>
      <c r="L44" s="145"/>
    </row>
    <row r="45" spans="1:12" x14ac:dyDescent="0.35">
      <c r="A45" s="5" t="s">
        <v>867</v>
      </c>
      <c r="B45" s="5" t="s">
        <v>100</v>
      </c>
      <c r="C45" s="5" t="s">
        <v>101</v>
      </c>
      <c r="D45" s="5" t="s">
        <v>754</v>
      </c>
      <c r="E45" s="5" t="s">
        <v>755</v>
      </c>
      <c r="F45" s="5">
        <v>2</v>
      </c>
      <c r="G45" s="5">
        <v>8</v>
      </c>
      <c r="H45" s="236">
        <v>168</v>
      </c>
      <c r="I45" s="5" t="s">
        <v>113</v>
      </c>
      <c r="J45" s="5" t="s">
        <v>113</v>
      </c>
      <c r="K45" s="237">
        <v>5745600</v>
      </c>
      <c r="L45" s="145"/>
    </row>
    <row r="46" spans="1:12" x14ac:dyDescent="0.35">
      <c r="A46" s="5" t="s">
        <v>868</v>
      </c>
      <c r="B46" s="5" t="s">
        <v>100</v>
      </c>
      <c r="C46" s="5" t="s">
        <v>101</v>
      </c>
      <c r="D46" s="5" t="s">
        <v>754</v>
      </c>
      <c r="E46" s="5" t="s">
        <v>755</v>
      </c>
      <c r="F46" s="5">
        <v>2</v>
      </c>
      <c r="G46" s="5">
        <v>9</v>
      </c>
      <c r="H46" s="236">
        <v>251</v>
      </c>
      <c r="I46" s="5" t="s">
        <v>113</v>
      </c>
      <c r="J46" s="5" t="s">
        <v>113</v>
      </c>
      <c r="K46" s="237">
        <v>9871830</v>
      </c>
      <c r="L46" s="145"/>
    </row>
    <row r="47" spans="1:12" x14ac:dyDescent="0.35">
      <c r="A47" s="5" t="s">
        <v>821</v>
      </c>
      <c r="B47" s="5" t="s">
        <v>100</v>
      </c>
      <c r="C47" s="5" t="s">
        <v>101</v>
      </c>
      <c r="D47" s="5" t="s">
        <v>754</v>
      </c>
      <c r="E47" s="5" t="s">
        <v>755</v>
      </c>
      <c r="F47" s="5">
        <v>2</v>
      </c>
      <c r="G47" s="5">
        <v>10</v>
      </c>
      <c r="H47" s="236">
        <v>168</v>
      </c>
      <c r="I47" s="5" t="s">
        <v>113</v>
      </c>
      <c r="J47" s="5" t="s">
        <v>113</v>
      </c>
      <c r="K47" s="237">
        <v>5745600</v>
      </c>
      <c r="L47" s="145"/>
    </row>
    <row r="48" spans="1:12" x14ac:dyDescent="0.35">
      <c r="A48" s="5" t="s">
        <v>869</v>
      </c>
      <c r="B48" s="5" t="s">
        <v>100</v>
      </c>
      <c r="C48" s="5" t="s">
        <v>101</v>
      </c>
      <c r="D48" s="5" t="s">
        <v>754</v>
      </c>
      <c r="E48" s="5" t="s">
        <v>755</v>
      </c>
      <c r="F48" s="5">
        <v>2</v>
      </c>
      <c r="G48" s="5">
        <v>11</v>
      </c>
      <c r="H48" s="236">
        <v>258</v>
      </c>
      <c r="I48" s="5" t="s">
        <v>113</v>
      </c>
      <c r="J48" s="5" t="s">
        <v>113</v>
      </c>
      <c r="K48" s="237">
        <v>10147140</v>
      </c>
      <c r="L48" s="145"/>
    </row>
    <row r="49" spans="1:12" x14ac:dyDescent="0.35">
      <c r="A49" s="5" t="s">
        <v>822</v>
      </c>
      <c r="B49" s="5" t="s">
        <v>100</v>
      </c>
      <c r="C49" s="5" t="s">
        <v>101</v>
      </c>
      <c r="D49" s="5" t="s">
        <v>754</v>
      </c>
      <c r="E49" s="5" t="s">
        <v>755</v>
      </c>
      <c r="F49" s="5">
        <v>2</v>
      </c>
      <c r="G49" s="5">
        <v>12</v>
      </c>
      <c r="H49" s="236">
        <v>168</v>
      </c>
      <c r="I49" s="5" t="s">
        <v>113</v>
      </c>
      <c r="J49" s="5" t="s">
        <v>113</v>
      </c>
      <c r="K49" s="237">
        <v>5745600</v>
      </c>
      <c r="L49" s="145"/>
    </row>
    <row r="50" spans="1:12" x14ac:dyDescent="0.35">
      <c r="A50" s="5" t="s">
        <v>870</v>
      </c>
      <c r="B50" s="5" t="s">
        <v>100</v>
      </c>
      <c r="C50" s="5" t="s">
        <v>101</v>
      </c>
      <c r="D50" s="5" t="s">
        <v>754</v>
      </c>
      <c r="E50" s="5" t="s">
        <v>755</v>
      </c>
      <c r="F50" s="5">
        <v>2</v>
      </c>
      <c r="G50" s="5">
        <v>13</v>
      </c>
      <c r="H50" s="236">
        <v>265</v>
      </c>
      <c r="I50" s="5" t="s">
        <v>113</v>
      </c>
      <c r="J50" s="5" t="s">
        <v>113</v>
      </c>
      <c r="K50" s="237">
        <v>10422450</v>
      </c>
      <c r="L50" s="145"/>
    </row>
    <row r="51" spans="1:12" x14ac:dyDescent="0.35">
      <c r="A51" s="5" t="s">
        <v>823</v>
      </c>
      <c r="B51" s="5" t="s">
        <v>100</v>
      </c>
      <c r="C51" s="5" t="s">
        <v>101</v>
      </c>
      <c r="D51" s="5" t="s">
        <v>754</v>
      </c>
      <c r="E51" s="5" t="s">
        <v>755</v>
      </c>
      <c r="F51" s="5">
        <v>2</v>
      </c>
      <c r="G51" s="5">
        <v>14</v>
      </c>
      <c r="H51" s="236">
        <v>168</v>
      </c>
      <c r="I51" s="5" t="s">
        <v>113</v>
      </c>
      <c r="J51" s="5" t="s">
        <v>113</v>
      </c>
      <c r="K51" s="237">
        <v>5745600</v>
      </c>
      <c r="L51" s="145"/>
    </row>
    <row r="52" spans="1:12" x14ac:dyDescent="0.35">
      <c r="A52" s="5" t="s">
        <v>871</v>
      </c>
      <c r="B52" s="5" t="s">
        <v>100</v>
      </c>
      <c r="C52" s="5" t="s">
        <v>101</v>
      </c>
      <c r="D52" s="5" t="s">
        <v>754</v>
      </c>
      <c r="E52" s="5" t="s">
        <v>755</v>
      </c>
      <c r="F52" s="5">
        <v>2</v>
      </c>
      <c r="G52" s="5">
        <v>15</v>
      </c>
      <c r="H52" s="236">
        <v>271</v>
      </c>
      <c r="I52" s="5" t="s">
        <v>113</v>
      </c>
      <c r="J52" s="5" t="s">
        <v>113</v>
      </c>
      <c r="K52" s="237">
        <v>10658430</v>
      </c>
      <c r="L52" s="145"/>
    </row>
    <row r="53" spans="1:12" x14ac:dyDescent="0.35">
      <c r="A53" s="5" t="s">
        <v>824</v>
      </c>
      <c r="B53" s="5" t="s">
        <v>100</v>
      </c>
      <c r="C53" s="5" t="s">
        <v>101</v>
      </c>
      <c r="D53" s="5" t="s">
        <v>754</v>
      </c>
      <c r="E53" s="5" t="s">
        <v>755</v>
      </c>
      <c r="F53" s="5">
        <v>2</v>
      </c>
      <c r="G53" s="5">
        <v>16</v>
      </c>
      <c r="H53" s="236">
        <v>168</v>
      </c>
      <c r="I53" s="5" t="s">
        <v>113</v>
      </c>
      <c r="J53" s="5" t="s">
        <v>113</v>
      </c>
      <c r="K53" s="237">
        <v>5745600</v>
      </c>
      <c r="L53" s="145"/>
    </row>
    <row r="54" spans="1:12" x14ac:dyDescent="0.35">
      <c r="A54" s="5" t="s">
        <v>872</v>
      </c>
      <c r="B54" s="5" t="s">
        <v>100</v>
      </c>
      <c r="C54" s="5" t="s">
        <v>101</v>
      </c>
      <c r="D54" s="5" t="s">
        <v>754</v>
      </c>
      <c r="E54" s="5" t="s">
        <v>755</v>
      </c>
      <c r="F54" s="5">
        <v>2</v>
      </c>
      <c r="G54" s="5">
        <v>17</v>
      </c>
      <c r="H54" s="236">
        <v>316</v>
      </c>
      <c r="I54" s="5" t="s">
        <v>113</v>
      </c>
      <c r="J54" s="5" t="s">
        <v>113</v>
      </c>
      <c r="K54" s="237">
        <v>13509000</v>
      </c>
      <c r="L54" s="145"/>
    </row>
    <row r="55" spans="1:12" x14ac:dyDescent="0.35">
      <c r="A55" s="5" t="s">
        <v>825</v>
      </c>
      <c r="B55" s="5" t="s">
        <v>100</v>
      </c>
      <c r="C55" s="5" t="s">
        <v>101</v>
      </c>
      <c r="D55" s="5" t="s">
        <v>754</v>
      </c>
      <c r="E55" s="5" t="s">
        <v>755</v>
      </c>
      <c r="F55" s="5">
        <v>2</v>
      </c>
      <c r="G55" s="5">
        <v>18</v>
      </c>
      <c r="H55" s="236">
        <v>168</v>
      </c>
      <c r="I55" s="5" t="s">
        <v>113</v>
      </c>
      <c r="J55" s="5" t="s">
        <v>113</v>
      </c>
      <c r="K55" s="237">
        <v>5745600</v>
      </c>
      <c r="L55" s="145"/>
    </row>
    <row r="56" spans="1:12" x14ac:dyDescent="0.35">
      <c r="A56" s="5" t="s">
        <v>873</v>
      </c>
      <c r="B56" s="5" t="s">
        <v>100</v>
      </c>
      <c r="C56" s="5" t="s">
        <v>101</v>
      </c>
      <c r="D56" s="5" t="s">
        <v>754</v>
      </c>
      <c r="E56" s="5" t="s">
        <v>755</v>
      </c>
      <c r="F56" s="5">
        <v>2</v>
      </c>
      <c r="G56" s="5">
        <v>19</v>
      </c>
      <c r="H56" s="236">
        <v>218</v>
      </c>
      <c r="I56" s="5" t="s">
        <v>113</v>
      </c>
      <c r="J56" s="5" t="s">
        <v>113</v>
      </c>
      <c r="K56" s="237">
        <v>8201160</v>
      </c>
      <c r="L56" s="145"/>
    </row>
    <row r="57" spans="1:12" x14ac:dyDescent="0.35">
      <c r="A57" s="5" t="s">
        <v>874</v>
      </c>
      <c r="B57" s="5" t="s">
        <v>100</v>
      </c>
      <c r="C57" s="5" t="s">
        <v>101</v>
      </c>
      <c r="D57" s="5" t="s">
        <v>754</v>
      </c>
      <c r="E57" s="5" t="s">
        <v>755</v>
      </c>
      <c r="F57" s="5">
        <v>3</v>
      </c>
      <c r="G57" s="5">
        <v>5</v>
      </c>
      <c r="H57" s="236">
        <v>216</v>
      </c>
      <c r="I57" s="5" t="s">
        <v>113</v>
      </c>
      <c r="J57" s="5" t="s">
        <v>113</v>
      </c>
      <c r="K57" s="237">
        <v>8864640</v>
      </c>
      <c r="L57" s="145"/>
    </row>
    <row r="58" spans="1:12" x14ac:dyDescent="0.35">
      <c r="A58" s="5" t="s">
        <v>827</v>
      </c>
      <c r="B58" s="5" t="s">
        <v>100</v>
      </c>
      <c r="C58" s="5" t="s">
        <v>101</v>
      </c>
      <c r="D58" s="5" t="s">
        <v>754</v>
      </c>
      <c r="E58" s="5" t="s">
        <v>755</v>
      </c>
      <c r="F58" s="5">
        <v>3</v>
      </c>
      <c r="G58" s="5">
        <v>6</v>
      </c>
      <c r="H58" s="236">
        <v>216</v>
      </c>
      <c r="I58" s="5" t="s">
        <v>200</v>
      </c>
      <c r="J58" s="5" t="s">
        <v>200</v>
      </c>
      <c r="K58" s="237">
        <v>7756560</v>
      </c>
      <c r="L58" s="145"/>
    </row>
    <row r="59" spans="1:12" x14ac:dyDescent="0.35">
      <c r="A59" s="5" t="s">
        <v>828</v>
      </c>
      <c r="B59" s="5" t="s">
        <v>100</v>
      </c>
      <c r="C59" s="5" t="s">
        <v>101</v>
      </c>
      <c r="D59" s="5" t="s">
        <v>754</v>
      </c>
      <c r="E59" s="5" t="s">
        <v>755</v>
      </c>
      <c r="F59" s="5">
        <v>3</v>
      </c>
      <c r="G59" s="5">
        <v>7</v>
      </c>
      <c r="H59" s="236">
        <v>216</v>
      </c>
      <c r="I59" s="5" t="s">
        <v>113</v>
      </c>
      <c r="J59" s="5" t="s">
        <v>113</v>
      </c>
      <c r="K59" s="237">
        <v>8495280</v>
      </c>
      <c r="L59" s="145"/>
    </row>
    <row r="60" spans="1:12" x14ac:dyDescent="0.35">
      <c r="A60" s="5" t="s">
        <v>829</v>
      </c>
      <c r="B60" s="5" t="s">
        <v>100</v>
      </c>
      <c r="C60" s="5" t="s">
        <v>101</v>
      </c>
      <c r="D60" s="5" t="s">
        <v>754</v>
      </c>
      <c r="E60" s="5" t="s">
        <v>755</v>
      </c>
      <c r="F60" s="5">
        <v>3</v>
      </c>
      <c r="G60" s="5">
        <v>8</v>
      </c>
      <c r="H60" s="236">
        <v>216</v>
      </c>
      <c r="I60" s="5" t="s">
        <v>200</v>
      </c>
      <c r="J60" s="5" t="s">
        <v>200</v>
      </c>
      <c r="K60" s="237">
        <v>7387200</v>
      </c>
      <c r="L60" s="145"/>
    </row>
    <row r="61" spans="1:12" x14ac:dyDescent="0.35">
      <c r="A61" s="5" t="s">
        <v>830</v>
      </c>
      <c r="B61" s="5" t="s">
        <v>100</v>
      </c>
      <c r="C61" s="5" t="s">
        <v>101</v>
      </c>
      <c r="D61" s="5" t="s">
        <v>754</v>
      </c>
      <c r="E61" s="5" t="s">
        <v>755</v>
      </c>
      <c r="F61" s="5">
        <v>3</v>
      </c>
      <c r="G61" s="5">
        <v>9</v>
      </c>
      <c r="H61" s="236">
        <v>216</v>
      </c>
      <c r="I61" s="5" t="s">
        <v>113</v>
      </c>
      <c r="J61" s="5" t="s">
        <v>113</v>
      </c>
      <c r="K61" s="237">
        <v>8495280</v>
      </c>
      <c r="L61" s="145"/>
    </row>
    <row r="62" spans="1:12" x14ac:dyDescent="0.35">
      <c r="A62" s="5" t="s">
        <v>831</v>
      </c>
      <c r="B62" s="5" t="s">
        <v>100</v>
      </c>
      <c r="C62" s="5" t="s">
        <v>101</v>
      </c>
      <c r="D62" s="5" t="s">
        <v>754</v>
      </c>
      <c r="E62" s="5" t="s">
        <v>755</v>
      </c>
      <c r="F62" s="5">
        <v>3</v>
      </c>
      <c r="G62" s="5">
        <v>10</v>
      </c>
      <c r="H62" s="236">
        <v>216</v>
      </c>
      <c r="I62" s="5" t="s">
        <v>113</v>
      </c>
      <c r="J62" s="5" t="s">
        <v>113</v>
      </c>
      <c r="K62" s="237">
        <v>7387200</v>
      </c>
      <c r="L62" s="145"/>
    </row>
    <row r="63" spans="1:12" x14ac:dyDescent="0.35">
      <c r="A63" s="5" t="s">
        <v>875</v>
      </c>
      <c r="B63" s="5" t="s">
        <v>100</v>
      </c>
      <c r="C63" s="5" t="s">
        <v>101</v>
      </c>
      <c r="D63" s="5" t="s">
        <v>754</v>
      </c>
      <c r="E63" s="5" t="s">
        <v>755</v>
      </c>
      <c r="F63" s="5">
        <v>3</v>
      </c>
      <c r="G63" s="5">
        <v>11</v>
      </c>
      <c r="H63" s="236">
        <v>216</v>
      </c>
      <c r="I63" s="5" t="s">
        <v>113</v>
      </c>
      <c r="J63" s="5" t="s">
        <v>113</v>
      </c>
      <c r="K63" s="237">
        <v>8495280</v>
      </c>
      <c r="L63" s="145"/>
    </row>
    <row r="64" spans="1:12" x14ac:dyDescent="0.35">
      <c r="A64" s="5" t="s">
        <v>832</v>
      </c>
      <c r="B64" s="5" t="s">
        <v>100</v>
      </c>
      <c r="C64" s="5" t="s">
        <v>101</v>
      </c>
      <c r="D64" s="5" t="s">
        <v>754</v>
      </c>
      <c r="E64" s="5" t="s">
        <v>755</v>
      </c>
      <c r="F64" s="5">
        <v>3</v>
      </c>
      <c r="G64" s="5">
        <v>12</v>
      </c>
      <c r="H64" s="236">
        <v>216</v>
      </c>
      <c r="I64" s="5" t="s">
        <v>200</v>
      </c>
      <c r="J64" s="5" t="s">
        <v>200</v>
      </c>
      <c r="K64" s="237">
        <v>7387200</v>
      </c>
      <c r="L64" s="145"/>
    </row>
    <row r="65" spans="1:12" x14ac:dyDescent="0.35">
      <c r="A65" s="5" t="s">
        <v>876</v>
      </c>
      <c r="B65" s="5" t="s">
        <v>100</v>
      </c>
      <c r="C65" s="5" t="s">
        <v>101</v>
      </c>
      <c r="D65" s="5" t="s">
        <v>754</v>
      </c>
      <c r="E65" s="5" t="s">
        <v>755</v>
      </c>
      <c r="F65" s="5">
        <v>3</v>
      </c>
      <c r="G65" s="5">
        <v>13</v>
      </c>
      <c r="H65" s="236">
        <v>216</v>
      </c>
      <c r="I65" s="5" t="s">
        <v>113</v>
      </c>
      <c r="J65" s="5" t="s">
        <v>113</v>
      </c>
      <c r="K65" s="237">
        <v>8495280</v>
      </c>
      <c r="L65" s="145"/>
    </row>
    <row r="66" spans="1:12" x14ac:dyDescent="0.35">
      <c r="A66" s="5" t="s">
        <v>833</v>
      </c>
      <c r="B66" s="5" t="s">
        <v>100</v>
      </c>
      <c r="C66" s="5" t="s">
        <v>101</v>
      </c>
      <c r="D66" s="5" t="s">
        <v>754</v>
      </c>
      <c r="E66" s="5" t="s">
        <v>755</v>
      </c>
      <c r="F66" s="5">
        <v>3</v>
      </c>
      <c r="G66" s="5">
        <v>14</v>
      </c>
      <c r="H66" s="236">
        <v>216</v>
      </c>
      <c r="I66" s="5" t="s">
        <v>200</v>
      </c>
      <c r="J66" s="5" t="s">
        <v>200</v>
      </c>
      <c r="K66" s="237">
        <v>7387200</v>
      </c>
      <c r="L66" s="145"/>
    </row>
    <row r="67" spans="1:12" x14ac:dyDescent="0.35">
      <c r="A67" s="5" t="s">
        <v>877</v>
      </c>
      <c r="B67" s="5" t="s">
        <v>100</v>
      </c>
      <c r="C67" s="5" t="s">
        <v>101</v>
      </c>
      <c r="D67" s="5" t="s">
        <v>754</v>
      </c>
      <c r="E67" s="5" t="s">
        <v>755</v>
      </c>
      <c r="F67" s="5">
        <v>3</v>
      </c>
      <c r="G67" s="5">
        <v>15</v>
      </c>
      <c r="H67" s="236">
        <v>216</v>
      </c>
      <c r="I67" s="5" t="s">
        <v>113</v>
      </c>
      <c r="J67" s="5" t="s">
        <v>113</v>
      </c>
      <c r="K67" s="237">
        <v>8495280</v>
      </c>
      <c r="L67" s="145"/>
    </row>
    <row r="68" spans="1:12" x14ac:dyDescent="0.35">
      <c r="A68" s="5" t="s">
        <v>834</v>
      </c>
      <c r="B68" s="5" t="s">
        <v>100</v>
      </c>
      <c r="C68" s="5" t="s">
        <v>101</v>
      </c>
      <c r="D68" s="5" t="s">
        <v>754</v>
      </c>
      <c r="E68" s="5" t="s">
        <v>755</v>
      </c>
      <c r="F68" s="5">
        <v>3</v>
      </c>
      <c r="G68" s="5">
        <v>16</v>
      </c>
      <c r="H68" s="236">
        <v>216</v>
      </c>
      <c r="I68" s="5" t="s">
        <v>200</v>
      </c>
      <c r="J68" s="5" t="s">
        <v>200</v>
      </c>
      <c r="K68" s="237">
        <v>7387200</v>
      </c>
      <c r="L68" s="145"/>
    </row>
    <row r="69" spans="1:12" x14ac:dyDescent="0.35">
      <c r="A69" s="5" t="s">
        <v>878</v>
      </c>
      <c r="B69" s="5" t="s">
        <v>100</v>
      </c>
      <c r="C69" s="5" t="s">
        <v>101</v>
      </c>
      <c r="D69" s="5" t="s">
        <v>754</v>
      </c>
      <c r="E69" s="5" t="s">
        <v>755</v>
      </c>
      <c r="F69" s="5">
        <v>3</v>
      </c>
      <c r="G69" s="5">
        <v>17</v>
      </c>
      <c r="H69" s="236">
        <v>272</v>
      </c>
      <c r="I69" s="5" t="s">
        <v>113</v>
      </c>
      <c r="J69" s="5" t="s">
        <v>113</v>
      </c>
      <c r="K69" s="237">
        <v>11628000</v>
      </c>
      <c r="L69" s="145"/>
    </row>
    <row r="70" spans="1:12" x14ac:dyDescent="0.35">
      <c r="A70" s="5" t="s">
        <v>826</v>
      </c>
      <c r="B70" s="5" t="s">
        <v>100</v>
      </c>
      <c r="C70" s="5" t="s">
        <v>101</v>
      </c>
      <c r="D70" s="5" t="s">
        <v>754</v>
      </c>
      <c r="E70" s="5" t="s">
        <v>755</v>
      </c>
      <c r="F70" s="5">
        <v>3</v>
      </c>
      <c r="G70" s="5">
        <v>18</v>
      </c>
      <c r="H70" s="236">
        <v>288</v>
      </c>
      <c r="I70" s="5" t="s">
        <v>113</v>
      </c>
      <c r="J70" s="5" t="s">
        <v>113</v>
      </c>
      <c r="K70" s="237">
        <v>10834560</v>
      </c>
      <c r="L70" s="145"/>
    </row>
    <row r="71" spans="1:12" x14ac:dyDescent="0.35">
      <c r="A71" s="5" t="s">
        <v>879</v>
      </c>
      <c r="B71" s="5" t="s">
        <v>100</v>
      </c>
      <c r="C71" s="5" t="s">
        <v>101</v>
      </c>
      <c r="D71" s="5" t="s">
        <v>754</v>
      </c>
      <c r="E71" s="5" t="s">
        <v>755</v>
      </c>
      <c r="F71" s="5">
        <v>4</v>
      </c>
      <c r="G71" s="5">
        <v>1</v>
      </c>
      <c r="H71" s="236">
        <v>312</v>
      </c>
      <c r="I71" s="5" t="s">
        <v>113</v>
      </c>
      <c r="J71" s="5" t="s">
        <v>113</v>
      </c>
      <c r="K71" s="237">
        <v>13871520</v>
      </c>
      <c r="L71" s="145"/>
    </row>
    <row r="72" spans="1:12" x14ac:dyDescent="0.35">
      <c r="A72" s="5" t="s">
        <v>851</v>
      </c>
      <c r="B72" s="5" t="s">
        <v>100</v>
      </c>
      <c r="C72" s="5" t="s">
        <v>101</v>
      </c>
      <c r="D72" s="5" t="s">
        <v>754</v>
      </c>
      <c r="E72" s="5" t="s">
        <v>755</v>
      </c>
      <c r="F72" s="5">
        <v>4</v>
      </c>
      <c r="G72" s="5">
        <v>2</v>
      </c>
      <c r="H72" s="236">
        <v>269</v>
      </c>
      <c r="I72" s="5" t="s">
        <v>113</v>
      </c>
      <c r="J72" s="5" t="s">
        <v>113</v>
      </c>
      <c r="K72" s="237">
        <v>10119780</v>
      </c>
      <c r="L72" s="145"/>
    </row>
    <row r="73" spans="1:12" x14ac:dyDescent="0.35">
      <c r="A73" s="5" t="s">
        <v>880</v>
      </c>
      <c r="B73" s="5" t="s">
        <v>100</v>
      </c>
      <c r="C73" s="5" t="s">
        <v>101</v>
      </c>
      <c r="D73" s="5" t="s">
        <v>754</v>
      </c>
      <c r="E73" s="5" t="s">
        <v>755</v>
      </c>
      <c r="F73" s="5">
        <v>4</v>
      </c>
      <c r="G73" s="5">
        <v>3</v>
      </c>
      <c r="H73" s="236">
        <v>212</v>
      </c>
      <c r="I73" s="5" t="s">
        <v>113</v>
      </c>
      <c r="J73" s="5" t="s">
        <v>113</v>
      </c>
      <c r="K73" s="237">
        <v>8700480</v>
      </c>
      <c r="L73" s="145"/>
    </row>
    <row r="74" spans="1:12" x14ac:dyDescent="0.35">
      <c r="A74" s="5" t="s">
        <v>836</v>
      </c>
      <c r="B74" s="5" t="s">
        <v>100</v>
      </c>
      <c r="C74" s="5" t="s">
        <v>101</v>
      </c>
      <c r="D74" s="5" t="s">
        <v>754</v>
      </c>
      <c r="E74" s="5" t="s">
        <v>755</v>
      </c>
      <c r="F74" s="5">
        <v>4</v>
      </c>
      <c r="G74" s="5">
        <v>4</v>
      </c>
      <c r="H74" s="236">
        <v>216</v>
      </c>
      <c r="I74" s="5" t="s">
        <v>113</v>
      </c>
      <c r="J74" s="5" t="s">
        <v>113</v>
      </c>
      <c r="K74" s="237">
        <v>7387200</v>
      </c>
      <c r="L74" s="145"/>
    </row>
    <row r="75" spans="1:12" x14ac:dyDescent="0.35">
      <c r="A75" s="5" t="s">
        <v>881</v>
      </c>
      <c r="B75" s="5" t="s">
        <v>100</v>
      </c>
      <c r="C75" s="5" t="s">
        <v>101</v>
      </c>
      <c r="D75" s="5" t="s">
        <v>754</v>
      </c>
      <c r="E75" s="5" t="s">
        <v>755</v>
      </c>
      <c r="F75" s="5">
        <v>4</v>
      </c>
      <c r="G75" s="5">
        <v>5</v>
      </c>
      <c r="H75" s="236">
        <v>212</v>
      </c>
      <c r="I75" s="5" t="s">
        <v>113</v>
      </c>
      <c r="J75" s="5" t="s">
        <v>113</v>
      </c>
      <c r="K75" s="237">
        <v>8337960</v>
      </c>
      <c r="L75" s="145"/>
    </row>
    <row r="76" spans="1:12" x14ac:dyDescent="0.35">
      <c r="A76" s="5" t="s">
        <v>837</v>
      </c>
      <c r="B76" s="5" t="s">
        <v>100</v>
      </c>
      <c r="C76" s="5" t="s">
        <v>101</v>
      </c>
      <c r="D76" s="5" t="s">
        <v>754</v>
      </c>
      <c r="E76" s="5" t="s">
        <v>755</v>
      </c>
      <c r="F76" s="5">
        <v>4</v>
      </c>
      <c r="G76" s="5">
        <v>6</v>
      </c>
      <c r="H76" s="236">
        <v>216</v>
      </c>
      <c r="I76" s="5" t="s">
        <v>113</v>
      </c>
      <c r="J76" s="5" t="s">
        <v>113</v>
      </c>
      <c r="K76" s="237">
        <v>7387200</v>
      </c>
      <c r="L76" s="145"/>
    </row>
    <row r="77" spans="1:12" x14ac:dyDescent="0.35">
      <c r="A77" s="5" t="s">
        <v>882</v>
      </c>
      <c r="B77" s="5" t="s">
        <v>100</v>
      </c>
      <c r="C77" s="5" t="s">
        <v>101</v>
      </c>
      <c r="D77" s="5" t="s">
        <v>754</v>
      </c>
      <c r="E77" s="5" t="s">
        <v>755</v>
      </c>
      <c r="F77" s="5">
        <v>4</v>
      </c>
      <c r="G77" s="5">
        <v>7</v>
      </c>
      <c r="H77" s="236">
        <v>212</v>
      </c>
      <c r="I77" s="5" t="s">
        <v>113</v>
      </c>
      <c r="J77" s="5" t="s">
        <v>113</v>
      </c>
      <c r="K77" s="237">
        <v>8337960</v>
      </c>
      <c r="L77" s="145"/>
    </row>
    <row r="78" spans="1:12" x14ac:dyDescent="0.35">
      <c r="A78" s="5" t="s">
        <v>838</v>
      </c>
      <c r="B78" s="5" t="s">
        <v>100</v>
      </c>
      <c r="C78" s="5" t="s">
        <v>101</v>
      </c>
      <c r="D78" s="5" t="s">
        <v>754</v>
      </c>
      <c r="E78" s="5" t="s">
        <v>755</v>
      </c>
      <c r="F78" s="5">
        <v>4</v>
      </c>
      <c r="G78" s="5">
        <v>8</v>
      </c>
      <c r="H78" s="236">
        <v>219</v>
      </c>
      <c r="I78" s="5" t="s">
        <v>113</v>
      </c>
      <c r="J78" s="5" t="s">
        <v>113</v>
      </c>
      <c r="K78" s="237">
        <v>7489800</v>
      </c>
      <c r="L78" s="145"/>
    </row>
    <row r="79" spans="1:12" x14ac:dyDescent="0.35">
      <c r="A79" s="5" t="s">
        <v>883</v>
      </c>
      <c r="B79" s="5" t="s">
        <v>100</v>
      </c>
      <c r="C79" s="5" t="s">
        <v>101</v>
      </c>
      <c r="D79" s="5" t="s">
        <v>754</v>
      </c>
      <c r="E79" s="5" t="s">
        <v>755</v>
      </c>
      <c r="F79" s="5">
        <v>4</v>
      </c>
      <c r="G79" s="5">
        <v>9</v>
      </c>
      <c r="H79" s="236">
        <v>212</v>
      </c>
      <c r="I79" s="5" t="s">
        <v>113</v>
      </c>
      <c r="J79" s="5" t="s">
        <v>113</v>
      </c>
      <c r="K79" s="237">
        <v>8337960</v>
      </c>
      <c r="L79" s="145"/>
    </row>
    <row r="80" spans="1:12" x14ac:dyDescent="0.35">
      <c r="A80" s="5" t="s">
        <v>839</v>
      </c>
      <c r="B80" s="5" t="s">
        <v>100</v>
      </c>
      <c r="C80" s="5" t="s">
        <v>101</v>
      </c>
      <c r="D80" s="5" t="s">
        <v>754</v>
      </c>
      <c r="E80" s="5" t="s">
        <v>755</v>
      </c>
      <c r="F80" s="5">
        <v>4</v>
      </c>
      <c r="G80" s="5">
        <v>10</v>
      </c>
      <c r="H80" s="236">
        <v>226</v>
      </c>
      <c r="I80" s="5" t="s">
        <v>113</v>
      </c>
      <c r="J80" s="5" t="s">
        <v>113</v>
      </c>
      <c r="K80" s="237">
        <v>7729200</v>
      </c>
      <c r="L80" s="145"/>
    </row>
    <row r="81" spans="1:12" x14ac:dyDescent="0.35">
      <c r="A81" s="5" t="s">
        <v>884</v>
      </c>
      <c r="B81" s="5" t="s">
        <v>100</v>
      </c>
      <c r="C81" s="5" t="s">
        <v>101</v>
      </c>
      <c r="D81" s="5" t="s">
        <v>754</v>
      </c>
      <c r="E81" s="5" t="s">
        <v>755</v>
      </c>
      <c r="F81" s="5">
        <v>4</v>
      </c>
      <c r="G81" s="5">
        <v>11</v>
      </c>
      <c r="H81" s="236">
        <v>212</v>
      </c>
      <c r="I81" s="5" t="s">
        <v>113</v>
      </c>
      <c r="J81" s="5" t="s">
        <v>113</v>
      </c>
      <c r="K81" s="237">
        <v>8337960</v>
      </c>
      <c r="L81" s="145"/>
    </row>
    <row r="82" spans="1:12" x14ac:dyDescent="0.35">
      <c r="A82" s="5" t="s">
        <v>840</v>
      </c>
      <c r="B82" s="5" t="s">
        <v>100</v>
      </c>
      <c r="C82" s="5" t="s">
        <v>101</v>
      </c>
      <c r="D82" s="5" t="s">
        <v>754</v>
      </c>
      <c r="E82" s="5" t="s">
        <v>755</v>
      </c>
      <c r="F82" s="5">
        <v>4</v>
      </c>
      <c r="G82" s="5">
        <v>12</v>
      </c>
      <c r="H82" s="236">
        <v>233</v>
      </c>
      <c r="I82" s="5" t="s">
        <v>113</v>
      </c>
      <c r="J82" s="5" t="s">
        <v>113</v>
      </c>
      <c r="K82" s="237">
        <v>7968600</v>
      </c>
      <c r="L82" s="145"/>
    </row>
    <row r="83" spans="1:12" x14ac:dyDescent="0.35">
      <c r="A83" s="5" t="s">
        <v>885</v>
      </c>
      <c r="B83" s="5" t="s">
        <v>100</v>
      </c>
      <c r="C83" s="5" t="s">
        <v>101</v>
      </c>
      <c r="D83" s="5" t="s">
        <v>754</v>
      </c>
      <c r="E83" s="5" t="s">
        <v>755</v>
      </c>
      <c r="F83" s="5">
        <v>4</v>
      </c>
      <c r="G83" s="5">
        <v>13</v>
      </c>
      <c r="H83" s="236">
        <v>212</v>
      </c>
      <c r="I83" s="5" t="s">
        <v>113</v>
      </c>
      <c r="J83" s="5" t="s">
        <v>113</v>
      </c>
      <c r="K83" s="237">
        <v>8337960</v>
      </c>
      <c r="L83" s="145"/>
    </row>
    <row r="84" spans="1:12" x14ac:dyDescent="0.35">
      <c r="A84" s="5" t="s">
        <v>841</v>
      </c>
      <c r="B84" s="5" t="s">
        <v>100</v>
      </c>
      <c r="C84" s="5" t="s">
        <v>101</v>
      </c>
      <c r="D84" s="5" t="s">
        <v>754</v>
      </c>
      <c r="E84" s="5" t="s">
        <v>755</v>
      </c>
      <c r="F84" s="5">
        <v>4</v>
      </c>
      <c r="G84" s="5">
        <v>14</v>
      </c>
      <c r="H84" s="236">
        <v>240</v>
      </c>
      <c r="I84" s="5" t="s">
        <v>113</v>
      </c>
      <c r="J84" s="5" t="s">
        <v>113</v>
      </c>
      <c r="K84" s="237">
        <v>8208000</v>
      </c>
      <c r="L84" s="145"/>
    </row>
    <row r="85" spans="1:12" x14ac:dyDescent="0.35">
      <c r="A85" s="5" t="s">
        <v>886</v>
      </c>
      <c r="B85" s="5" t="s">
        <v>100</v>
      </c>
      <c r="C85" s="5" t="s">
        <v>101</v>
      </c>
      <c r="D85" s="5" t="s">
        <v>754</v>
      </c>
      <c r="E85" s="5" t="s">
        <v>755</v>
      </c>
      <c r="F85" s="5">
        <v>4</v>
      </c>
      <c r="G85" s="5">
        <v>15</v>
      </c>
      <c r="H85" s="236">
        <v>213</v>
      </c>
      <c r="I85" s="5" t="s">
        <v>113</v>
      </c>
      <c r="J85" s="5" t="s">
        <v>113</v>
      </c>
      <c r="K85" s="237">
        <v>8377290</v>
      </c>
      <c r="L85" s="145"/>
    </row>
    <row r="86" spans="1:12" x14ac:dyDescent="0.35">
      <c r="A86" s="5" t="s">
        <v>835</v>
      </c>
      <c r="B86" s="5" t="s">
        <v>100</v>
      </c>
      <c r="C86" s="5" t="s">
        <v>101</v>
      </c>
      <c r="D86" s="5" t="s">
        <v>754</v>
      </c>
      <c r="E86" s="5" t="s">
        <v>755</v>
      </c>
      <c r="F86" s="5">
        <v>4</v>
      </c>
      <c r="G86" s="5">
        <v>16</v>
      </c>
      <c r="H86" s="236">
        <v>247</v>
      </c>
      <c r="I86" s="5" t="s">
        <v>113</v>
      </c>
      <c r="J86" s="5" t="s">
        <v>113</v>
      </c>
      <c r="K86" s="237">
        <v>8447400</v>
      </c>
      <c r="L86" s="145"/>
    </row>
    <row r="87" spans="1:12" x14ac:dyDescent="0.35">
      <c r="A87" s="5" t="s">
        <v>887</v>
      </c>
      <c r="B87" s="5" t="s">
        <v>100</v>
      </c>
      <c r="C87" s="5" t="s">
        <v>101</v>
      </c>
      <c r="D87" s="5" t="s">
        <v>754</v>
      </c>
      <c r="E87" s="5" t="s">
        <v>755</v>
      </c>
      <c r="F87" s="5">
        <v>4</v>
      </c>
      <c r="G87" s="5">
        <v>17</v>
      </c>
      <c r="H87" s="236">
        <v>336</v>
      </c>
      <c r="I87" s="5" t="s">
        <v>113</v>
      </c>
      <c r="J87" s="5" t="s">
        <v>113</v>
      </c>
      <c r="K87" s="237">
        <v>14364000</v>
      </c>
      <c r="L87" s="145"/>
    </row>
    <row r="88" spans="1:12" x14ac:dyDescent="0.35">
      <c r="A88" s="5" t="s">
        <v>842</v>
      </c>
      <c r="B88" s="5" t="s">
        <v>100</v>
      </c>
      <c r="C88" s="5" t="s">
        <v>101</v>
      </c>
      <c r="D88" s="5" t="s">
        <v>754</v>
      </c>
      <c r="E88" s="5" t="s">
        <v>755</v>
      </c>
      <c r="F88" s="5">
        <v>4</v>
      </c>
      <c r="G88" s="5">
        <v>18</v>
      </c>
      <c r="H88" s="236">
        <v>254</v>
      </c>
      <c r="I88" s="5" t="s">
        <v>113</v>
      </c>
      <c r="J88" s="5" t="s">
        <v>113</v>
      </c>
      <c r="K88" s="237">
        <v>8686800</v>
      </c>
      <c r="L88" s="145"/>
    </row>
    <row r="89" spans="1:12" x14ac:dyDescent="0.35">
      <c r="A89" s="5" t="s">
        <v>843</v>
      </c>
      <c r="B89" s="5" t="s">
        <v>100</v>
      </c>
      <c r="C89" s="5" t="s">
        <v>101</v>
      </c>
      <c r="D89" s="5" t="s">
        <v>754</v>
      </c>
      <c r="E89" s="5" t="s">
        <v>755</v>
      </c>
      <c r="F89" s="5">
        <v>4</v>
      </c>
      <c r="G89" s="5">
        <v>19</v>
      </c>
      <c r="H89" s="236">
        <v>280</v>
      </c>
      <c r="I89" s="5" t="s">
        <v>113</v>
      </c>
      <c r="J89" s="5" t="s">
        <v>113</v>
      </c>
      <c r="K89" s="237">
        <v>10533600</v>
      </c>
      <c r="L89" s="145"/>
    </row>
    <row r="90" spans="1:12" x14ac:dyDescent="0.35">
      <c r="A90" s="5" t="s">
        <v>844</v>
      </c>
      <c r="B90" s="5" t="s">
        <v>100</v>
      </c>
      <c r="C90" s="5" t="s">
        <v>101</v>
      </c>
      <c r="D90" s="5" t="s">
        <v>754</v>
      </c>
      <c r="E90" s="5" t="s">
        <v>755</v>
      </c>
      <c r="F90" s="5">
        <v>5</v>
      </c>
      <c r="G90" s="5">
        <v>2</v>
      </c>
      <c r="H90" s="236">
        <v>373</v>
      </c>
      <c r="I90" s="5" t="s">
        <v>113</v>
      </c>
      <c r="J90" s="5" t="s">
        <v>113</v>
      </c>
      <c r="K90" s="237">
        <v>13394430</v>
      </c>
      <c r="L90" s="145"/>
    </row>
    <row r="91" spans="1:12" x14ac:dyDescent="0.35">
      <c r="A91" s="5" t="s">
        <v>845</v>
      </c>
      <c r="B91" s="5" t="s">
        <v>100</v>
      </c>
      <c r="C91" s="5" t="s">
        <v>101</v>
      </c>
      <c r="D91" s="5" t="s">
        <v>754</v>
      </c>
      <c r="E91" s="5" t="s">
        <v>755</v>
      </c>
      <c r="F91" s="5">
        <v>5</v>
      </c>
      <c r="G91" s="5">
        <v>3</v>
      </c>
      <c r="H91" s="236">
        <v>235</v>
      </c>
      <c r="I91" s="5" t="s">
        <v>113</v>
      </c>
      <c r="J91" s="5" t="s">
        <v>113</v>
      </c>
      <c r="K91" s="237">
        <v>8438850</v>
      </c>
      <c r="L91" s="145"/>
    </row>
    <row r="92" spans="1:12" x14ac:dyDescent="0.35">
      <c r="A92" s="5" t="s">
        <v>848</v>
      </c>
      <c r="B92" s="5" t="s">
        <v>100</v>
      </c>
      <c r="C92" s="5" t="s">
        <v>101</v>
      </c>
      <c r="D92" s="5" t="s">
        <v>754</v>
      </c>
      <c r="E92" s="5" t="s">
        <v>755</v>
      </c>
      <c r="F92" s="5">
        <v>5</v>
      </c>
      <c r="G92" s="5">
        <v>4</v>
      </c>
      <c r="H92" s="236">
        <v>238</v>
      </c>
      <c r="I92" s="5" t="s">
        <v>113</v>
      </c>
      <c r="J92" s="5" t="s">
        <v>113</v>
      </c>
      <c r="K92" s="237">
        <v>8546580</v>
      </c>
      <c r="L92" s="145"/>
    </row>
    <row r="93" spans="1:12" x14ac:dyDescent="0.35">
      <c r="A93" s="5" t="s">
        <v>888</v>
      </c>
      <c r="B93" s="5" t="s">
        <v>100</v>
      </c>
      <c r="C93" s="5" t="s">
        <v>101</v>
      </c>
      <c r="D93" s="5" t="s">
        <v>754</v>
      </c>
      <c r="E93" s="5" t="s">
        <v>755</v>
      </c>
      <c r="F93" s="5">
        <v>5</v>
      </c>
      <c r="G93" s="5">
        <v>5</v>
      </c>
      <c r="H93" s="236">
        <v>233</v>
      </c>
      <c r="I93" s="5" t="s">
        <v>113</v>
      </c>
      <c r="J93" s="5" t="s">
        <v>113</v>
      </c>
      <c r="K93" s="237">
        <v>8367030</v>
      </c>
      <c r="L93" s="145"/>
    </row>
    <row r="94" spans="1:12" x14ac:dyDescent="0.35">
      <c r="A94" s="5" t="s">
        <v>846</v>
      </c>
      <c r="B94" s="5" t="s">
        <v>100</v>
      </c>
      <c r="C94" s="5" t="s">
        <v>101</v>
      </c>
      <c r="D94" s="5" t="s">
        <v>754</v>
      </c>
      <c r="E94" s="5" t="s">
        <v>755</v>
      </c>
      <c r="F94" s="5">
        <v>5</v>
      </c>
      <c r="G94" s="5">
        <v>6</v>
      </c>
      <c r="H94" s="236">
        <v>228</v>
      </c>
      <c r="I94" s="5" t="s">
        <v>113</v>
      </c>
      <c r="J94" s="5" t="s">
        <v>113</v>
      </c>
      <c r="K94" s="237">
        <v>6238080</v>
      </c>
      <c r="L94" s="145"/>
    </row>
    <row r="95" spans="1:12" x14ac:dyDescent="0.35">
      <c r="A95" s="5" t="s">
        <v>847</v>
      </c>
      <c r="B95" s="5" t="s">
        <v>100</v>
      </c>
      <c r="C95" s="5" t="s">
        <v>101</v>
      </c>
      <c r="D95" s="5" t="s">
        <v>760</v>
      </c>
      <c r="E95" s="5" t="s">
        <v>755</v>
      </c>
      <c r="F95" s="5">
        <v>5</v>
      </c>
      <c r="G95" s="5">
        <v>7</v>
      </c>
      <c r="H95" s="236">
        <v>224</v>
      </c>
      <c r="I95" s="5" t="s">
        <v>113</v>
      </c>
      <c r="J95" s="5" t="s">
        <v>113</v>
      </c>
      <c r="K95" s="237">
        <v>7660800</v>
      </c>
      <c r="L95" s="145"/>
    </row>
    <row r="96" spans="1:12" x14ac:dyDescent="0.35">
      <c r="A96" s="5" t="s">
        <v>889</v>
      </c>
      <c r="B96" s="5" t="s">
        <v>100</v>
      </c>
      <c r="C96" s="5" t="s">
        <v>101</v>
      </c>
      <c r="D96" s="5" t="s">
        <v>761</v>
      </c>
      <c r="E96" s="5" t="s">
        <v>755</v>
      </c>
      <c r="F96" s="5">
        <v>5</v>
      </c>
      <c r="G96" s="5">
        <v>8</v>
      </c>
      <c r="H96" s="236">
        <v>341</v>
      </c>
      <c r="I96" s="5" t="s">
        <v>113</v>
      </c>
      <c r="J96" s="5" t="s">
        <v>113</v>
      </c>
      <c r="K96" s="237">
        <v>11662200</v>
      </c>
      <c r="L96" s="145"/>
    </row>
    <row r="97" spans="1:12" x14ac:dyDescent="0.35">
      <c r="A97" s="5" t="s">
        <v>890</v>
      </c>
      <c r="B97" s="5" t="s">
        <v>100</v>
      </c>
      <c r="C97" s="5" t="s">
        <v>101</v>
      </c>
      <c r="D97" s="5" t="s">
        <v>762</v>
      </c>
      <c r="E97" s="5" t="s">
        <v>755</v>
      </c>
      <c r="F97" s="5">
        <v>5</v>
      </c>
      <c r="G97" s="5">
        <v>9</v>
      </c>
      <c r="H97" s="236">
        <v>307</v>
      </c>
      <c r="I97" s="5" t="s">
        <v>113</v>
      </c>
      <c r="J97" s="5" t="s">
        <v>113</v>
      </c>
      <c r="K97" s="237">
        <v>10499400</v>
      </c>
      <c r="L97" s="145"/>
    </row>
    <row r="98" spans="1:12" x14ac:dyDescent="0.35">
      <c r="A98" s="5" t="s">
        <v>891</v>
      </c>
      <c r="B98" s="5" t="s">
        <v>100</v>
      </c>
      <c r="C98" s="5" t="s">
        <v>101</v>
      </c>
      <c r="D98" s="5" t="s">
        <v>763</v>
      </c>
      <c r="E98" s="5" t="s">
        <v>755</v>
      </c>
      <c r="F98" s="5">
        <v>5</v>
      </c>
      <c r="G98" s="5">
        <v>10</v>
      </c>
      <c r="H98" s="236">
        <v>334</v>
      </c>
      <c r="I98" s="5" t="s">
        <v>113</v>
      </c>
      <c r="J98" s="5" t="s">
        <v>113</v>
      </c>
      <c r="K98" s="237">
        <v>9138240</v>
      </c>
      <c r="L98" s="145"/>
    </row>
  </sheetData>
  <autoFilter ref="A1:M94"/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B1:AW89"/>
  <sheetViews>
    <sheetView showGridLines="0" view="pageBreakPreview" zoomScale="52" zoomScaleNormal="100" zoomScaleSheetLayoutView="52" workbookViewId="0">
      <selection activeCell="M8" sqref="M8"/>
    </sheetView>
  </sheetViews>
  <sheetFormatPr defaultColWidth="8.81640625" defaultRowHeight="18.5" outlineLevelCol="1" x14ac:dyDescent="0.45"/>
  <cols>
    <col min="1" max="1" width="3" style="8" customWidth="1"/>
    <col min="2" max="2" width="28.26953125" style="309" bestFit="1" customWidth="1"/>
    <col min="3" max="3" width="31.26953125" style="8" bestFit="1" customWidth="1"/>
    <col min="4" max="5" width="25.7265625" style="8" customWidth="1"/>
    <col min="6" max="6" width="30.453125" style="8" customWidth="1"/>
    <col min="7" max="8" width="25.7265625" style="8" customWidth="1"/>
    <col min="9" max="9" width="19.1796875" style="289" bestFit="1" customWidth="1"/>
    <col min="10" max="10" width="11.81640625" style="289" bestFit="1" customWidth="1"/>
    <col min="11" max="11" width="25.7265625" style="309" customWidth="1" outlineLevel="1"/>
    <col min="12" max="17" width="25.7265625" style="8" customWidth="1" outlineLevel="1"/>
    <col min="18" max="18" width="9.1796875" style="8" customWidth="1"/>
    <col min="19" max="19" width="25.7265625" style="309" customWidth="1" outlineLevel="1"/>
    <col min="20" max="25" width="25.7265625" style="8" customWidth="1" outlineLevel="1"/>
    <col min="26" max="26" width="9.1796875" style="8" customWidth="1"/>
    <col min="27" max="27" width="25.7265625" style="309" customWidth="1" outlineLevel="1"/>
    <col min="28" max="33" width="25.7265625" style="8" customWidth="1" outlineLevel="1"/>
    <col min="34" max="34" width="9.1796875" style="8" customWidth="1"/>
    <col min="35" max="35" width="25.7265625" style="412" customWidth="1" outlineLevel="1"/>
    <col min="36" max="41" width="25.7265625" style="8" customWidth="1" outlineLevel="1"/>
    <col min="42" max="42" width="8.81640625" style="8"/>
    <col min="43" max="43" width="25.7265625" style="412" customWidth="1" outlineLevel="1"/>
    <col min="44" max="46" width="25.7265625" style="8" customWidth="1" outlineLevel="1"/>
    <col min="47" max="47" width="25.7265625" style="9" customWidth="1" outlineLevel="1"/>
    <col min="48" max="49" width="25.7265625" style="8" customWidth="1" outlineLevel="1"/>
    <col min="50" max="16384" width="8.81640625" style="8"/>
  </cols>
  <sheetData>
    <row r="1" spans="2:49" x14ac:dyDescent="0.45">
      <c r="K1" s="68"/>
      <c r="L1" s="38"/>
      <c r="M1" s="38"/>
      <c r="N1" s="38"/>
      <c r="O1" s="38"/>
      <c r="P1" s="38"/>
      <c r="Q1" s="38"/>
      <c r="R1" s="38"/>
      <c r="S1" s="68"/>
      <c r="T1" s="38"/>
      <c r="U1" s="38"/>
      <c r="V1" s="38"/>
      <c r="W1" s="38"/>
      <c r="X1" s="38"/>
      <c r="Y1" s="38"/>
      <c r="Z1" s="38"/>
      <c r="AA1" s="68"/>
      <c r="AB1" s="38"/>
      <c r="AC1" s="38"/>
      <c r="AD1" s="38"/>
      <c r="AE1" s="38"/>
      <c r="AF1" s="38"/>
      <c r="AG1" s="38"/>
      <c r="AI1" s="68"/>
      <c r="AJ1" s="38"/>
      <c r="AK1" s="38"/>
      <c r="AL1" s="38"/>
      <c r="AM1" s="38"/>
      <c r="AN1" s="38"/>
      <c r="AO1" s="38"/>
      <c r="AQ1" s="68"/>
      <c r="AR1" s="38"/>
      <c r="AS1" s="38"/>
      <c r="AT1" s="38"/>
      <c r="AU1" s="146"/>
      <c r="AV1" s="38"/>
      <c r="AW1" s="38"/>
    </row>
    <row r="2" spans="2:49" x14ac:dyDescent="0.45">
      <c r="B2" s="84" t="s">
        <v>0</v>
      </c>
      <c r="C2" s="505">
        <f>Input!D4</f>
        <v>0</v>
      </c>
      <c r="D2" s="505"/>
      <c r="K2" s="68"/>
      <c r="L2" s="89"/>
      <c r="M2" s="89"/>
      <c r="N2" s="38"/>
      <c r="O2" s="38"/>
      <c r="P2" s="38"/>
      <c r="Q2" s="38"/>
      <c r="R2" s="38"/>
      <c r="S2" s="68"/>
      <c r="T2" s="89"/>
      <c r="U2" s="89"/>
      <c r="V2" s="38"/>
      <c r="W2" s="38"/>
      <c r="X2" s="38"/>
      <c r="Y2" s="38"/>
      <c r="Z2" s="38"/>
      <c r="AA2" s="68"/>
      <c r="AB2" s="89"/>
      <c r="AC2" s="89"/>
      <c r="AD2" s="38"/>
      <c r="AE2" s="38"/>
      <c r="AF2" s="38"/>
      <c r="AG2" s="38"/>
      <c r="AI2" s="68"/>
      <c r="AJ2" s="89"/>
      <c r="AK2" s="89"/>
      <c r="AL2" s="38"/>
      <c r="AM2" s="38"/>
      <c r="AN2" s="38"/>
      <c r="AO2" s="38"/>
      <c r="AQ2" s="68"/>
      <c r="AR2" s="89"/>
      <c r="AS2" s="89"/>
      <c r="AT2" s="38"/>
      <c r="AU2" s="146"/>
      <c r="AV2" s="38"/>
      <c r="AW2" s="38"/>
    </row>
    <row r="3" spans="2:49" x14ac:dyDescent="0.45">
      <c r="B3" s="84" t="s">
        <v>3</v>
      </c>
      <c r="C3" s="506" t="str">
        <f>Input!D7</f>
        <v>The Arborage</v>
      </c>
      <c r="D3" s="506"/>
      <c r="K3" s="68"/>
      <c r="L3" s="89"/>
      <c r="M3" s="89"/>
      <c r="N3" s="38"/>
      <c r="O3" s="38"/>
      <c r="P3" s="38"/>
      <c r="Q3" s="38"/>
      <c r="R3" s="38"/>
      <c r="S3" s="68"/>
      <c r="T3" s="89"/>
      <c r="U3" s="89"/>
      <c r="V3" s="38"/>
      <c r="W3" s="38"/>
      <c r="X3" s="38"/>
      <c r="Y3" s="38"/>
      <c r="Z3" s="38"/>
      <c r="AA3" s="68"/>
      <c r="AB3" s="89"/>
      <c r="AC3" s="89"/>
      <c r="AD3" s="38"/>
      <c r="AE3" s="38"/>
      <c r="AF3" s="38"/>
      <c r="AG3" s="38"/>
      <c r="AI3" s="68"/>
      <c r="AJ3" s="89"/>
      <c r="AK3" s="89"/>
      <c r="AL3" s="38"/>
      <c r="AM3" s="38"/>
      <c r="AN3" s="38"/>
      <c r="AO3" s="38"/>
      <c r="AQ3" s="68"/>
      <c r="AR3" s="89"/>
      <c r="AS3" s="89"/>
      <c r="AT3" s="38"/>
      <c r="AU3" s="146"/>
      <c r="AV3" s="38"/>
      <c r="AW3" s="38"/>
    </row>
    <row r="4" spans="2:49" x14ac:dyDescent="0.45">
      <c r="B4" s="84" t="s">
        <v>780</v>
      </c>
      <c r="C4" s="507" t="str">
        <f>Input!D8</f>
        <v>B-B2-L10</v>
      </c>
      <c r="D4" s="507"/>
      <c r="K4" s="68"/>
      <c r="L4" s="90"/>
      <c r="M4" s="90"/>
      <c r="N4" s="38"/>
      <c r="O4" s="38"/>
      <c r="P4" s="38"/>
      <c r="Q4" s="38"/>
      <c r="R4" s="38"/>
      <c r="S4" s="68"/>
      <c r="T4" s="90"/>
      <c r="U4" s="90"/>
      <c r="V4" s="38"/>
      <c r="W4" s="38"/>
      <c r="X4" s="38"/>
      <c r="Y4" s="38"/>
      <c r="Z4" s="38"/>
      <c r="AA4" s="68"/>
      <c r="AB4" s="90"/>
      <c r="AC4" s="90"/>
      <c r="AD4" s="38"/>
      <c r="AE4" s="38"/>
      <c r="AF4" s="38"/>
      <c r="AG4" s="38"/>
      <c r="AI4" s="68"/>
      <c r="AJ4" s="90"/>
      <c r="AK4" s="90"/>
      <c r="AL4" s="38"/>
      <c r="AM4" s="38"/>
      <c r="AQ4" s="68"/>
      <c r="AR4" s="90"/>
      <c r="AS4" s="90"/>
      <c r="AT4" s="38"/>
      <c r="AU4" s="146"/>
      <c r="AV4" s="38"/>
      <c r="AW4" s="38"/>
    </row>
    <row r="5" spans="2:49" x14ac:dyDescent="0.45">
      <c r="B5" s="84" t="s">
        <v>247</v>
      </c>
      <c r="C5" s="508" t="str">
        <f>Input!D9</f>
        <v>Lot</v>
      </c>
      <c r="D5" s="508"/>
      <c r="K5" s="68"/>
      <c r="L5" s="91"/>
      <c r="M5" s="91"/>
      <c r="N5" s="38"/>
      <c r="O5" s="38"/>
      <c r="P5" s="38"/>
      <c r="Q5" s="38"/>
      <c r="R5" s="38"/>
      <c r="S5" s="68"/>
      <c r="T5" s="91"/>
      <c r="U5" s="91"/>
      <c r="V5" s="38"/>
      <c r="W5" s="38"/>
      <c r="X5" s="38"/>
      <c r="Y5" s="38"/>
      <c r="Z5" s="38"/>
      <c r="AA5" s="68"/>
      <c r="AB5" s="91"/>
      <c r="AC5" s="91"/>
      <c r="AD5" s="38"/>
      <c r="AE5" s="38"/>
      <c r="AF5" s="38"/>
      <c r="AG5" s="38"/>
      <c r="AI5" s="68"/>
      <c r="AJ5" s="91"/>
      <c r="AK5" s="91"/>
      <c r="AL5" s="38"/>
      <c r="AM5" s="38"/>
      <c r="AN5" s="38"/>
      <c r="AO5" s="38"/>
      <c r="AQ5" s="68"/>
      <c r="AR5" s="91"/>
      <c r="AS5" s="91"/>
      <c r="AT5" s="38"/>
      <c r="AU5" s="146"/>
      <c r="AV5" s="38"/>
      <c r="AW5" s="38"/>
    </row>
    <row r="6" spans="2:49" x14ac:dyDescent="0.45">
      <c r="B6" s="84" t="s">
        <v>619</v>
      </c>
      <c r="C6" s="509">
        <f>D8*1.16</f>
        <v>6543680.6399999997</v>
      </c>
      <c r="D6" s="509"/>
      <c r="K6" s="68"/>
      <c r="L6" s="65"/>
      <c r="M6" s="65"/>
      <c r="N6" s="38"/>
      <c r="O6" s="38"/>
      <c r="P6" s="38"/>
      <c r="Q6" s="38"/>
      <c r="R6" s="38"/>
      <c r="S6" s="68"/>
      <c r="T6" s="65"/>
      <c r="U6" s="65"/>
      <c r="V6" s="38"/>
      <c r="W6" s="38"/>
      <c r="X6" s="38"/>
      <c r="Y6" s="38"/>
      <c r="Z6" s="38"/>
      <c r="AA6" s="68"/>
      <c r="AB6" s="65"/>
      <c r="AC6" s="65"/>
      <c r="AD6" s="38"/>
      <c r="AE6" s="38"/>
      <c r="AF6" s="38"/>
      <c r="AG6" s="38"/>
      <c r="AI6" s="68"/>
      <c r="AJ6" s="65"/>
      <c r="AK6" s="65"/>
      <c r="AL6" s="38"/>
      <c r="AM6" s="38"/>
      <c r="AN6" s="38"/>
      <c r="AO6" s="38"/>
      <c r="AQ6" s="68"/>
      <c r="AR6" s="65"/>
      <c r="AS6" s="65"/>
      <c r="AT6" s="38"/>
      <c r="AU6" s="146"/>
      <c r="AV6" s="38"/>
      <c r="AW6" s="38"/>
    </row>
    <row r="7" spans="2:49" ht="19" thickBot="1" x14ac:dyDescent="0.5">
      <c r="C7" s="65"/>
      <c r="D7" s="65"/>
      <c r="K7" s="68"/>
      <c r="L7" s="65"/>
      <c r="M7" s="65"/>
      <c r="N7" s="38"/>
      <c r="O7" s="38"/>
      <c r="P7" s="38"/>
      <c r="Q7" s="38"/>
      <c r="R7" s="38"/>
      <c r="S7" s="68"/>
      <c r="T7" s="65"/>
      <c r="U7" s="65"/>
      <c r="V7" s="38"/>
      <c r="W7" s="38"/>
      <c r="X7" s="38"/>
      <c r="Y7" s="38"/>
      <c r="Z7" s="38"/>
      <c r="AA7" s="68"/>
      <c r="AB7" s="65"/>
      <c r="AC7" s="65"/>
      <c r="AD7" s="38"/>
      <c r="AE7" s="38"/>
      <c r="AF7" s="38"/>
      <c r="AG7" s="38"/>
      <c r="AI7" s="68"/>
      <c r="AJ7" s="65"/>
      <c r="AK7" s="65"/>
      <c r="AL7" s="38"/>
      <c r="AM7" s="38"/>
      <c r="AN7" s="38"/>
      <c r="AO7" s="38"/>
      <c r="AQ7" s="68"/>
      <c r="AR7" s="65"/>
      <c r="AS7" s="65"/>
      <c r="AT7" s="38"/>
      <c r="AU7" s="146"/>
      <c r="AV7" s="38"/>
      <c r="AW7" s="38"/>
    </row>
    <row r="8" spans="2:49" x14ac:dyDescent="0.45">
      <c r="B8" s="77" t="str">
        <f>'Summary - All Clusters'!C56</f>
        <v>Total List Price</v>
      </c>
      <c r="C8" s="78"/>
      <c r="D8" s="79">
        <f>Input!D12</f>
        <v>5641104</v>
      </c>
      <c r="K8" s="77" t="str">
        <f>'Cash 30'!B6</f>
        <v>Total List Price:</v>
      </c>
      <c r="L8" s="78"/>
      <c r="M8" s="79">
        <f>D8</f>
        <v>5641104</v>
      </c>
      <c r="N8" s="38"/>
      <c r="O8" s="38"/>
      <c r="P8" s="38"/>
      <c r="Q8" s="38"/>
      <c r="R8" s="38"/>
      <c r="S8" s="77" t="str">
        <f>'30-70 (30)'!B6</f>
        <v>Total List Price</v>
      </c>
      <c r="T8" s="78"/>
      <c r="U8" s="79">
        <f>'30-70 (30)'!D6</f>
        <v>5641104</v>
      </c>
      <c r="V8" s="38"/>
      <c r="W8" s="38"/>
      <c r="X8" s="38"/>
      <c r="Y8" s="38"/>
      <c r="Z8" s="38"/>
      <c r="AA8" s="77" t="str">
        <f>S8</f>
        <v>Total List Price</v>
      </c>
      <c r="AB8" s="78"/>
      <c r="AC8" s="79">
        <f>U8</f>
        <v>5641104</v>
      </c>
      <c r="AD8" s="38"/>
      <c r="AE8" s="38"/>
      <c r="AF8" s="38"/>
      <c r="AG8" s="38"/>
      <c r="AI8" s="77" t="str">
        <f>AA8</f>
        <v>Total List Price</v>
      </c>
      <c r="AJ8" s="78"/>
      <c r="AK8" s="79">
        <f>AC8</f>
        <v>5641104</v>
      </c>
      <c r="AL8" s="38"/>
      <c r="AM8" s="38"/>
      <c r="AN8" s="38"/>
      <c r="AO8" s="38"/>
      <c r="AQ8" s="77" t="str">
        <f>AI8</f>
        <v>Total List Price</v>
      </c>
      <c r="AR8" s="78"/>
      <c r="AS8" s="79">
        <f>AK8</f>
        <v>5641104</v>
      </c>
      <c r="AT8" s="38"/>
      <c r="AU8" s="146"/>
      <c r="AV8" s="38"/>
      <c r="AW8" s="38"/>
    </row>
    <row r="9" spans="2:49" x14ac:dyDescent="0.45">
      <c r="B9" s="128" t="s">
        <v>665</v>
      </c>
      <c r="C9" s="147"/>
      <c r="D9" s="143">
        <f>C9*D8</f>
        <v>0</v>
      </c>
      <c r="E9" s="15">
        <v>0</v>
      </c>
      <c r="K9" s="128" t="str">
        <f>'Cash 30'!B7</f>
        <v>Less 9% Discount:</v>
      </c>
      <c r="L9" s="129"/>
      <c r="M9" s="130">
        <f>M8*9%</f>
        <v>507699.36</v>
      </c>
      <c r="N9" s="88"/>
      <c r="O9" s="38"/>
      <c r="P9" s="38"/>
      <c r="Q9" s="38"/>
      <c r="R9" s="38"/>
      <c r="S9" s="128"/>
      <c r="T9" s="129"/>
      <c r="U9" s="130"/>
      <c r="V9" s="88"/>
      <c r="W9" s="38"/>
      <c r="X9" s="38"/>
      <c r="Y9" s="38"/>
      <c r="Z9" s="38"/>
      <c r="AA9" s="141"/>
      <c r="AB9" s="142"/>
      <c r="AC9" s="143" t="e">
        <f>IF(Input!$D$7="Prominence II",'10-10-80'!#REF!,IF(Input!$D$7="Arborage A",'20-40-40'!D8,'25-25-50'!#REF!))</f>
        <v>#REF!</v>
      </c>
      <c r="AD9" s="88"/>
      <c r="AE9" s="38"/>
      <c r="AF9" s="38"/>
      <c r="AG9" s="38"/>
      <c r="AI9" s="141"/>
      <c r="AJ9" s="142"/>
      <c r="AK9" s="143" t="e">
        <f>IF(Input!$D$7="Prominence II",'10-10-80'!#REF!,IF(Input!$D$7="Arborage A",'20-40-40'!L8,'25-25-50'!#REF!))</f>
        <v>#REF!</v>
      </c>
      <c r="AL9" s="88"/>
      <c r="AM9" s="38"/>
      <c r="AN9" s="38"/>
      <c r="AO9" s="38"/>
      <c r="AQ9" s="141"/>
      <c r="AR9" s="142"/>
      <c r="AS9" s="143" t="e">
        <f>IF(Input!$D$7="Prominence II",'10-10-80'!#REF!,IF(Input!$D$7="Arborage A",'20-40-40'!T8,'25-25-50'!#REF!))</f>
        <v>#REF!</v>
      </c>
      <c r="AT9" s="88"/>
      <c r="AU9" s="146"/>
      <c r="AV9" s="38"/>
      <c r="AW9" s="38"/>
    </row>
    <row r="10" spans="2:49" x14ac:dyDescent="0.45">
      <c r="B10" s="135"/>
      <c r="C10" s="136"/>
      <c r="D10" s="137"/>
      <c r="K10" s="28"/>
      <c r="L10" s="38"/>
      <c r="M10" s="101"/>
      <c r="N10" s="38"/>
      <c r="O10" s="38"/>
      <c r="P10" s="38"/>
      <c r="Q10" s="38"/>
      <c r="R10" s="38"/>
      <c r="S10" s="31"/>
      <c r="T10" s="39"/>
      <c r="U10" s="35"/>
      <c r="V10" s="38"/>
      <c r="W10" s="38"/>
      <c r="X10" s="38"/>
      <c r="Y10" s="38"/>
      <c r="Z10" s="38"/>
      <c r="AA10" s="31"/>
      <c r="AB10" s="39"/>
      <c r="AC10" s="35"/>
      <c r="AD10" s="38"/>
      <c r="AE10" s="38"/>
      <c r="AF10" s="38"/>
      <c r="AG10" s="38"/>
      <c r="AI10" s="31"/>
      <c r="AJ10" s="39"/>
      <c r="AK10" s="35"/>
      <c r="AL10" s="38"/>
      <c r="AM10" s="38"/>
      <c r="AN10" s="38"/>
      <c r="AO10" s="38"/>
      <c r="AQ10" s="31"/>
      <c r="AR10" s="39"/>
      <c r="AS10" s="35"/>
      <c r="AT10" s="38"/>
      <c r="AU10" s="146"/>
      <c r="AV10" s="38"/>
      <c r="AW10" s="38"/>
    </row>
    <row r="11" spans="2:49" x14ac:dyDescent="0.45">
      <c r="B11" s="32" t="str">
        <f>'Summary - All Clusters'!C60</f>
        <v>Net List Price:</v>
      </c>
      <c r="C11" s="40"/>
      <c r="D11" s="36">
        <f>D8-D9-D10</f>
        <v>5641104</v>
      </c>
      <c r="K11" s="32" t="str">
        <f>'Cash 30'!B8</f>
        <v>Sub-total:</v>
      </c>
      <c r="L11" s="40"/>
      <c r="M11" s="36">
        <f>M8-M9</f>
        <v>5133404.6399999997</v>
      </c>
      <c r="N11" s="38"/>
      <c r="O11" s="38"/>
      <c r="P11" s="38"/>
      <c r="Q11" s="38"/>
      <c r="R11" s="38"/>
      <c r="S11" s="32" t="str">
        <f>'30-70 (30)'!B8</f>
        <v>Net List Price:</v>
      </c>
      <c r="T11" s="40"/>
      <c r="U11" s="36">
        <f>U8</f>
        <v>5641104</v>
      </c>
      <c r="V11" s="38"/>
      <c r="W11" s="38"/>
      <c r="X11" s="38"/>
      <c r="Y11" s="38"/>
      <c r="Z11" s="38"/>
      <c r="AA11" s="32" t="str">
        <f>IF(Input!$D$7="Prominence II",'10-10-80'!B7,IF(Input!$D$7="Arborage A",'20-40-40'!B11,'25-25-50'!B6))</f>
        <v>Net List Price:</v>
      </c>
      <c r="AB11" s="40"/>
      <c r="AC11" s="36">
        <f>AC8</f>
        <v>5641104</v>
      </c>
      <c r="AD11" s="38"/>
      <c r="AE11" s="38"/>
      <c r="AF11" s="38"/>
      <c r="AG11" s="38"/>
      <c r="AI11" s="32" t="s">
        <v>584</v>
      </c>
      <c r="AJ11" s="40"/>
      <c r="AK11" s="36">
        <f>AK8</f>
        <v>5641104</v>
      </c>
      <c r="AL11" s="38"/>
      <c r="AM11" s="38"/>
      <c r="AN11" s="38"/>
      <c r="AO11" s="38"/>
      <c r="AQ11" s="32" t="s">
        <v>584</v>
      </c>
      <c r="AR11" s="40"/>
      <c r="AS11" s="36">
        <f>AS8</f>
        <v>5641104</v>
      </c>
      <c r="AT11" s="38"/>
      <c r="AU11" s="146"/>
      <c r="AV11" s="38"/>
      <c r="AW11" s="38"/>
    </row>
    <row r="12" spans="2:49" x14ac:dyDescent="0.45">
      <c r="B12" s="28" t="str">
        <f>'Summary - All Clusters'!C61</f>
        <v>Add VAT:</v>
      </c>
      <c r="C12" s="38"/>
      <c r="D12" s="80">
        <f>E12*D11</f>
        <v>676932.48</v>
      </c>
      <c r="E12" s="15">
        <v>0.12</v>
      </c>
      <c r="K12" s="28" t="str">
        <f>'Cash 30'!B11</f>
        <v>Add VAT:</v>
      </c>
      <c r="L12" s="38"/>
      <c r="M12" s="34">
        <f>M11*12%</f>
        <v>616008.5567999999</v>
      </c>
      <c r="N12" s="88"/>
      <c r="O12" s="38"/>
      <c r="P12" s="38"/>
      <c r="Q12" s="38"/>
      <c r="R12" s="38"/>
      <c r="S12" s="28" t="str">
        <f>'30-70 (30)'!B9</f>
        <v>Add VAT:</v>
      </c>
      <c r="T12" s="38"/>
      <c r="U12" s="80">
        <f>U11*12%</f>
        <v>676932.48</v>
      </c>
      <c r="V12" s="88"/>
      <c r="W12" s="38"/>
      <c r="X12" s="38"/>
      <c r="Y12" s="38"/>
      <c r="Z12" s="38"/>
      <c r="AA12" s="28" t="str">
        <f>IF(Input!$D$7="Prominence II",'10-10-80'!B8,IF(Input!$D$7="Arborage A",'20-40-40'!B12,'25-25-50'!B7))</f>
        <v>Add VAT:</v>
      </c>
      <c r="AB12" s="38"/>
      <c r="AC12" s="80">
        <f>AC11*12%</f>
        <v>676932.48</v>
      </c>
      <c r="AD12" s="88"/>
      <c r="AE12" s="38"/>
      <c r="AF12" s="38"/>
      <c r="AG12" s="38"/>
      <c r="AI12" s="32" t="s">
        <v>592</v>
      </c>
      <c r="AJ12" s="38"/>
      <c r="AK12" s="80">
        <f>AK11*12%</f>
        <v>676932.48</v>
      </c>
      <c r="AL12" s="88"/>
      <c r="AM12" s="38"/>
      <c r="AN12" s="38"/>
      <c r="AO12" s="38"/>
      <c r="AQ12" s="32" t="s">
        <v>592</v>
      </c>
      <c r="AR12" s="38"/>
      <c r="AS12" s="80">
        <f>AS11*12%</f>
        <v>676932.48</v>
      </c>
      <c r="AT12" s="88"/>
      <c r="AU12" s="146"/>
      <c r="AV12" s="38"/>
      <c r="AW12" s="38"/>
    </row>
    <row r="13" spans="2:49" x14ac:dyDescent="0.45">
      <c r="B13" s="28" t="str">
        <f>'Summary - All Clusters'!C62</f>
        <v>Add Other Charges:</v>
      </c>
      <c r="C13" s="38"/>
      <c r="D13" s="80">
        <f>D16+D15-D14-D12-D11</f>
        <v>225663.51999999955</v>
      </c>
      <c r="K13" s="28" t="str">
        <f>'Cash 30'!B12</f>
        <v>Add Other Charges:</v>
      </c>
      <c r="L13" s="38"/>
      <c r="M13" s="34">
        <f>M11*4%</f>
        <v>205336.1856</v>
      </c>
      <c r="N13" s="38"/>
      <c r="O13" s="38"/>
      <c r="P13" s="38"/>
      <c r="Q13" s="38"/>
      <c r="R13" s="38"/>
      <c r="S13" s="28" t="str">
        <f>'30-70 (30)'!B10</f>
        <v>Add Other Charges:</v>
      </c>
      <c r="T13" s="38"/>
      <c r="U13" s="80">
        <f>U11*4%</f>
        <v>225644.16</v>
      </c>
      <c r="V13" s="38"/>
      <c r="W13" s="38"/>
      <c r="X13" s="38"/>
      <c r="Y13" s="38"/>
      <c r="Z13" s="38"/>
      <c r="AA13" s="28" t="str">
        <f>IF(Input!$D$7="Prominence II",'10-10-80'!B9,IF(Input!$D$7="Arborage A",'20-40-40'!B13,'25-25-50'!B8))</f>
        <v>Add Other Charges:</v>
      </c>
      <c r="AB13" s="38"/>
      <c r="AC13" s="80">
        <f>AC11*4%</f>
        <v>225644.16</v>
      </c>
      <c r="AD13" s="38"/>
      <c r="AE13" s="38"/>
      <c r="AF13" s="38"/>
      <c r="AG13" s="38"/>
      <c r="AI13" s="32" t="s">
        <v>593</v>
      </c>
      <c r="AJ13" s="38"/>
      <c r="AK13" s="80">
        <f>AK11*4%</f>
        <v>225644.16</v>
      </c>
      <c r="AL13" s="38"/>
      <c r="AM13" s="38"/>
      <c r="AN13" s="38"/>
      <c r="AO13" s="38"/>
      <c r="AQ13" s="32" t="s">
        <v>593</v>
      </c>
      <c r="AR13" s="38"/>
      <c r="AS13" s="80">
        <f>AS11*4%</f>
        <v>225644.16</v>
      </c>
      <c r="AT13" s="38"/>
      <c r="AU13" s="146"/>
      <c r="AV13" s="38"/>
      <c r="AW13" s="38"/>
    </row>
    <row r="14" spans="2:49" hidden="1" x14ac:dyDescent="0.45">
      <c r="B14" s="28" t="str">
        <f>'Summary - All Clusters'!C63</f>
        <v/>
      </c>
      <c r="C14" s="38"/>
      <c r="D14" s="34">
        <f>'Summary - All Clusters'!E63</f>
        <v>0</v>
      </c>
      <c r="K14" s="28" t="str">
        <f>B14</f>
        <v/>
      </c>
      <c r="L14" s="38"/>
      <c r="M14" s="34">
        <f>D14</f>
        <v>0</v>
      </c>
      <c r="N14" s="38"/>
      <c r="O14" s="38"/>
      <c r="P14" s="38"/>
      <c r="Q14" s="38"/>
      <c r="R14" s="38"/>
      <c r="S14" s="28" t="str">
        <f>K14</f>
        <v/>
      </c>
      <c r="T14" s="38"/>
      <c r="U14" s="34">
        <f>M14</f>
        <v>0</v>
      </c>
      <c r="V14" s="38"/>
      <c r="W14" s="38"/>
      <c r="X14" s="38"/>
      <c r="Y14" s="38"/>
      <c r="Z14" s="38"/>
      <c r="AA14" s="28" t="str">
        <f>IF(Input!$D$7="Prominence II",'10-10-80'!B10,IF(Input!$D$7="Arborage A",'20-40-40'!B14,'25-25-50'!B9))</f>
        <v/>
      </c>
      <c r="AB14" s="38"/>
      <c r="AC14" s="34">
        <f>U14</f>
        <v>0</v>
      </c>
      <c r="AD14" s="38"/>
      <c r="AE14" s="38"/>
      <c r="AF14" s="38"/>
      <c r="AG14" s="38"/>
      <c r="AI14" s="32" t="s">
        <v>894</v>
      </c>
      <c r="AJ14" s="38"/>
      <c r="AK14" s="34">
        <f>AC14</f>
        <v>0</v>
      </c>
      <c r="AL14" s="38"/>
      <c r="AM14" s="38"/>
      <c r="AN14" s="38"/>
      <c r="AO14" s="38"/>
      <c r="AQ14" s="32" t="s">
        <v>894</v>
      </c>
      <c r="AR14" s="38"/>
      <c r="AS14" s="34">
        <f>AK14</f>
        <v>0</v>
      </c>
      <c r="AT14" s="38"/>
      <c r="AU14" s="146"/>
      <c r="AV14" s="38"/>
      <c r="AW14" s="38"/>
    </row>
    <row r="15" spans="2:49" hidden="1" x14ac:dyDescent="0.45">
      <c r="B15" s="128" t="str">
        <f>'Summary - All Clusters'!C64</f>
        <v/>
      </c>
      <c r="C15" s="129"/>
      <c r="D15" s="132">
        <f>'Summary - All Clusters'!E64</f>
        <v>0</v>
      </c>
      <c r="K15" s="128" t="str">
        <f>B15</f>
        <v/>
      </c>
      <c r="L15" s="129"/>
      <c r="M15" s="130">
        <f>D15</f>
        <v>0</v>
      </c>
      <c r="N15" s="38"/>
      <c r="O15" s="38"/>
      <c r="P15" s="38"/>
      <c r="Q15" s="38"/>
      <c r="R15" s="38"/>
      <c r="S15" s="128" t="str">
        <f>K15</f>
        <v/>
      </c>
      <c r="T15" s="129"/>
      <c r="U15" s="132">
        <f>M15</f>
        <v>0</v>
      </c>
      <c r="V15" s="38"/>
      <c r="W15" s="38"/>
      <c r="X15" s="38"/>
      <c r="Y15" s="38"/>
      <c r="Z15" s="38"/>
      <c r="AA15" s="128" t="str">
        <f>IF(Input!$D$7="Prominence II",'10-10-80'!B11,IF(Input!$D$7="Arborage A",'20-40-40'!B15,'25-25-50'!B10))</f>
        <v/>
      </c>
      <c r="AB15" s="129"/>
      <c r="AC15" s="132">
        <f>U15</f>
        <v>0</v>
      </c>
      <c r="AD15" s="38"/>
      <c r="AE15" s="38"/>
      <c r="AF15" s="38"/>
      <c r="AG15" s="38"/>
      <c r="AI15" s="32" t="s">
        <v>895</v>
      </c>
      <c r="AJ15" s="129"/>
      <c r="AK15" s="132">
        <f>AC15</f>
        <v>0</v>
      </c>
      <c r="AL15" s="38"/>
      <c r="AM15" s="38"/>
      <c r="AN15" s="38"/>
      <c r="AO15" s="38"/>
      <c r="AQ15" s="32" t="s">
        <v>895</v>
      </c>
      <c r="AR15" s="129"/>
      <c r="AS15" s="132">
        <f>AK15</f>
        <v>0</v>
      </c>
      <c r="AT15" s="38"/>
      <c r="AU15" s="146"/>
      <c r="AV15" s="38"/>
      <c r="AW15" s="38"/>
    </row>
    <row r="16" spans="2:49" ht="19" thickBot="1" x14ac:dyDescent="0.5">
      <c r="B16" s="33" t="str">
        <f>'Summary - All Clusters'!C66</f>
        <v>Total Contract Price:</v>
      </c>
      <c r="C16" s="41"/>
      <c r="D16" s="81">
        <f>ROUND((D11*1.16)+D14-D15,-2)</f>
        <v>6543700</v>
      </c>
      <c r="K16" s="33" t="str">
        <f>B16</f>
        <v>Total Contract Price:</v>
      </c>
      <c r="L16" s="41"/>
      <c r="M16" s="37">
        <f>ROUND(M11+M12+M13+M14-M15,-2)</f>
        <v>5954700</v>
      </c>
      <c r="N16" s="38"/>
      <c r="O16" s="38"/>
      <c r="P16" s="38"/>
      <c r="Q16" s="38"/>
      <c r="R16" s="38"/>
      <c r="S16" s="33" t="str">
        <f>'30-70 (30)'!B13</f>
        <v>Total Contract Price:</v>
      </c>
      <c r="T16" s="41"/>
      <c r="U16" s="81">
        <f>ROUND(U11+U12+U13+U14-U15,-2)</f>
        <v>6543700</v>
      </c>
      <c r="V16" s="245"/>
      <c r="W16" s="38"/>
      <c r="X16" s="38"/>
      <c r="Y16" s="38"/>
      <c r="Z16" s="38"/>
      <c r="AA16" s="33" t="str">
        <f>IF(Input!$D$7="Prominence II",'10-10-80'!B12,IF(Input!$D$7="Arborage A",'20-40-40'!B16,'25-25-50'!B11))</f>
        <v>Total Contract Price:</v>
      </c>
      <c r="AB16" s="41"/>
      <c r="AC16" s="81">
        <f>ROUND(AC11+AC12+AC13+AC14-AC15,-2)</f>
        <v>6543700</v>
      </c>
      <c r="AD16" s="38"/>
      <c r="AE16" s="38"/>
      <c r="AF16" s="38"/>
      <c r="AG16" s="38"/>
      <c r="AI16" s="33" t="s">
        <v>580</v>
      </c>
      <c r="AJ16" s="41"/>
      <c r="AK16" s="81">
        <f>ROUND(AK11+AK12+AK13+AK14-AK15,-2)</f>
        <v>6543700</v>
      </c>
      <c r="AL16" s="38"/>
      <c r="AM16" s="38"/>
      <c r="AN16" s="38"/>
      <c r="AO16" s="38"/>
      <c r="AQ16" s="33" t="s">
        <v>580</v>
      </c>
      <c r="AR16" s="41"/>
      <c r="AS16" s="81">
        <f>ROUND(AS11+AS12+AS13+AS14-AS15,-2)</f>
        <v>6543700</v>
      </c>
      <c r="AT16" s="38"/>
      <c r="AU16" s="146"/>
      <c r="AV16" s="38"/>
      <c r="AW16" s="38"/>
    </row>
    <row r="17" spans="2:49" x14ac:dyDescent="0.45">
      <c r="B17" s="68"/>
      <c r="C17" s="65"/>
      <c r="D17" s="65"/>
      <c r="K17" s="68"/>
      <c r="L17" s="65"/>
      <c r="M17" s="65"/>
      <c r="S17" s="68"/>
      <c r="T17" s="65"/>
      <c r="U17" s="65"/>
      <c r="AA17" s="68"/>
      <c r="AB17" s="65"/>
      <c r="AC17" s="65"/>
      <c r="AI17" s="68"/>
      <c r="AJ17" s="65"/>
      <c r="AK17" s="65"/>
      <c r="AQ17" s="68"/>
      <c r="AR17" s="65"/>
      <c r="AS17" s="65"/>
    </row>
    <row r="18" spans="2:49" x14ac:dyDescent="0.45">
      <c r="B18" s="498" t="s">
        <v>666</v>
      </c>
      <c r="C18" s="499"/>
      <c r="D18" s="499"/>
      <c r="E18" s="499"/>
      <c r="F18" s="499"/>
      <c r="G18" s="499"/>
      <c r="H18" s="500"/>
      <c r="K18" s="498" t="s">
        <v>772</v>
      </c>
      <c r="L18" s="499"/>
      <c r="M18" s="499"/>
      <c r="N18" s="499"/>
      <c r="O18" s="499"/>
      <c r="P18" s="499"/>
      <c r="Q18" s="500"/>
      <c r="S18" s="498" t="s">
        <v>776</v>
      </c>
      <c r="T18" s="499"/>
      <c r="U18" s="499"/>
      <c r="V18" s="499"/>
      <c r="W18" s="499"/>
      <c r="X18" s="499"/>
      <c r="Y18" s="500"/>
      <c r="AA18" s="498" t="s">
        <v>767</v>
      </c>
      <c r="AB18" s="499"/>
      <c r="AC18" s="499"/>
      <c r="AD18" s="499"/>
      <c r="AE18" s="499"/>
      <c r="AF18" s="499"/>
      <c r="AG18" s="500"/>
      <c r="AI18" s="498" t="s">
        <v>913</v>
      </c>
      <c r="AJ18" s="499"/>
      <c r="AK18" s="499"/>
      <c r="AL18" s="499"/>
      <c r="AM18" s="499"/>
      <c r="AN18" s="499"/>
      <c r="AO18" s="500"/>
      <c r="AQ18" s="498" t="s">
        <v>914</v>
      </c>
      <c r="AR18" s="499"/>
      <c r="AS18" s="499"/>
      <c r="AT18" s="499"/>
      <c r="AU18" s="499"/>
      <c r="AV18" s="499"/>
      <c r="AW18" s="500"/>
    </row>
    <row r="19" spans="2:49" x14ac:dyDescent="0.45">
      <c r="B19" s="66"/>
      <c r="C19" s="67"/>
      <c r="D19" s="67"/>
      <c r="E19" s="67"/>
      <c r="F19" s="67"/>
      <c r="G19" s="68"/>
      <c r="H19" s="69"/>
      <c r="K19" s="66"/>
      <c r="L19" s="67"/>
      <c r="M19" s="67"/>
      <c r="N19" s="67"/>
      <c r="O19" s="67"/>
      <c r="P19" s="68"/>
      <c r="Q19" s="69"/>
      <c r="S19" s="66"/>
      <c r="T19" s="67"/>
      <c r="U19" s="67"/>
      <c r="V19" s="67"/>
      <c r="W19" s="67"/>
      <c r="X19" s="68"/>
      <c r="Y19" s="69"/>
      <c r="AA19" s="66"/>
      <c r="AB19" s="67"/>
      <c r="AC19" s="67"/>
      <c r="AD19" s="67"/>
      <c r="AE19" s="67"/>
      <c r="AF19" s="68"/>
      <c r="AG19" s="69"/>
      <c r="AI19" s="66"/>
      <c r="AJ19" s="67"/>
      <c r="AK19" s="67"/>
      <c r="AL19" s="67"/>
      <c r="AM19" s="67"/>
      <c r="AN19" s="68"/>
      <c r="AO19" s="69"/>
      <c r="AQ19" s="66"/>
      <c r="AR19" s="67"/>
      <c r="AS19" s="67"/>
      <c r="AT19" s="67"/>
      <c r="AU19" s="413"/>
      <c r="AV19" s="68"/>
      <c r="AW19" s="69"/>
    </row>
    <row r="20" spans="2:49" x14ac:dyDescent="0.45">
      <c r="B20" s="66"/>
      <c r="C20" s="155"/>
      <c r="D20" s="155" t="s">
        <v>624</v>
      </c>
      <c r="E20" s="155" t="s">
        <v>627</v>
      </c>
      <c r="F20" s="155" t="s">
        <v>626</v>
      </c>
      <c r="G20" s="68"/>
      <c r="H20" s="69"/>
      <c r="K20" s="501" t="s">
        <v>771</v>
      </c>
      <c r="L20" s="502"/>
      <c r="M20" s="502"/>
      <c r="N20" s="502"/>
      <c r="O20" s="502"/>
      <c r="P20" s="502"/>
      <c r="Q20" s="503"/>
      <c r="S20" s="504" t="s">
        <v>775</v>
      </c>
      <c r="T20" s="502"/>
      <c r="U20" s="502"/>
      <c r="V20" s="502"/>
      <c r="W20" s="502"/>
      <c r="X20" s="502"/>
      <c r="Y20" s="503"/>
      <c r="AA20" s="96"/>
      <c r="AB20" s="97"/>
      <c r="AC20" s="94">
        <v>0.1</v>
      </c>
      <c r="AD20" s="100" t="s">
        <v>768</v>
      </c>
      <c r="AE20" s="97"/>
      <c r="AF20" s="97"/>
      <c r="AG20" s="98"/>
      <c r="AI20" s="96"/>
      <c r="AJ20" s="97"/>
      <c r="AK20" s="94"/>
      <c r="AL20" s="100"/>
      <c r="AM20" s="97"/>
      <c r="AN20" s="97"/>
      <c r="AO20" s="98"/>
      <c r="AQ20" s="96"/>
      <c r="AR20" s="97"/>
      <c r="AS20" s="94"/>
      <c r="AT20" s="99"/>
      <c r="AU20" s="100"/>
      <c r="AV20" s="97"/>
      <c r="AW20" s="98"/>
    </row>
    <row r="21" spans="2:49" x14ac:dyDescent="0.45">
      <c r="B21" s="66"/>
      <c r="C21" s="156" t="s">
        <v>749</v>
      </c>
      <c r="D21" s="157"/>
      <c r="E21" s="158"/>
      <c r="F21" s="155"/>
      <c r="G21" s="38"/>
      <c r="H21" s="70"/>
      <c r="K21" s="66"/>
      <c r="L21" s="93"/>
      <c r="M21" s="94"/>
      <c r="N21" s="95"/>
      <c r="O21" s="306"/>
      <c r="P21" s="38"/>
      <c r="Q21" s="70"/>
      <c r="S21" s="66"/>
      <c r="T21" s="93"/>
      <c r="U21" s="94"/>
      <c r="V21" s="95"/>
      <c r="W21" s="306"/>
      <c r="X21" s="38"/>
      <c r="Y21" s="70"/>
      <c r="AA21" s="66"/>
      <c r="AB21" s="93"/>
      <c r="AC21" s="94">
        <v>0.4</v>
      </c>
      <c r="AD21" s="99" t="s">
        <v>769</v>
      </c>
      <c r="AE21" s="306"/>
      <c r="AF21" s="38"/>
      <c r="AG21" s="70"/>
      <c r="AI21" s="66"/>
      <c r="AJ21" s="93"/>
      <c r="AK21" s="94"/>
      <c r="AL21" s="99"/>
      <c r="AM21" s="408"/>
      <c r="AN21" s="38"/>
      <c r="AO21" s="70"/>
      <c r="AQ21" s="66"/>
      <c r="AR21" s="93"/>
      <c r="AS21" s="94"/>
      <c r="AT21" s="99"/>
      <c r="AU21" s="414"/>
      <c r="AV21" s="38"/>
      <c r="AW21" s="70"/>
    </row>
    <row r="22" spans="2:49" x14ac:dyDescent="0.45">
      <c r="B22" s="66"/>
      <c r="C22" s="156" t="s">
        <v>630</v>
      </c>
      <c r="D22" s="157"/>
      <c r="E22" s="158"/>
      <c r="F22" s="155"/>
      <c r="G22" s="38"/>
      <c r="H22" s="70"/>
      <c r="K22" s="66"/>
      <c r="L22" s="93"/>
      <c r="M22" s="94"/>
      <c r="N22" s="93"/>
      <c r="O22" s="306"/>
      <c r="P22" s="38"/>
      <c r="Q22" s="70"/>
      <c r="S22" s="66"/>
      <c r="T22" s="93"/>
      <c r="U22" s="94"/>
      <c r="V22" s="93"/>
      <c r="W22" s="306"/>
      <c r="X22" s="38"/>
      <c r="Y22" s="70"/>
      <c r="AA22" s="66"/>
      <c r="AB22" s="93"/>
      <c r="AC22" s="94">
        <v>0.5</v>
      </c>
      <c r="AD22" s="99" t="s">
        <v>770</v>
      </c>
      <c r="AE22" s="306"/>
      <c r="AF22" s="38"/>
      <c r="AG22" s="70"/>
      <c r="AI22" s="66"/>
      <c r="AJ22" s="93"/>
      <c r="AK22" s="94"/>
      <c r="AL22" s="99"/>
      <c r="AM22" s="408"/>
      <c r="AN22" s="38"/>
      <c r="AO22" s="70"/>
      <c r="AQ22" s="66"/>
      <c r="AR22" s="93"/>
      <c r="AS22" s="94"/>
      <c r="AT22" s="93"/>
      <c r="AU22" s="414"/>
      <c r="AV22" s="38"/>
      <c r="AW22" s="70"/>
    </row>
    <row r="23" spans="2:49" x14ac:dyDescent="0.45">
      <c r="B23" s="66"/>
      <c r="C23" s="227"/>
      <c r="D23" s="228"/>
      <c r="E23" s="229"/>
      <c r="F23" s="230"/>
      <c r="G23" s="38"/>
      <c r="H23" s="70"/>
      <c r="K23" s="66"/>
      <c r="L23" s="93"/>
      <c r="M23" s="94"/>
      <c r="N23" s="93"/>
      <c r="O23" s="306"/>
      <c r="P23" s="38"/>
      <c r="Q23" s="70"/>
      <c r="S23" s="66"/>
      <c r="T23" s="93"/>
      <c r="U23" s="94"/>
      <c r="V23" s="93"/>
      <c r="W23" s="306"/>
      <c r="X23" s="38"/>
      <c r="Y23" s="70"/>
      <c r="AA23" s="66"/>
      <c r="AB23" s="93"/>
      <c r="AC23" s="94"/>
      <c r="AD23" s="93"/>
      <c r="AE23" s="306"/>
      <c r="AF23" s="38"/>
      <c r="AG23" s="70"/>
      <c r="AI23" s="66"/>
      <c r="AJ23" s="93"/>
      <c r="AK23" s="94"/>
      <c r="AL23" s="93"/>
      <c r="AM23" s="408"/>
      <c r="AN23" s="38"/>
      <c r="AO23" s="70"/>
      <c r="AQ23" s="66"/>
      <c r="AR23" s="93"/>
      <c r="AU23" s="414"/>
      <c r="AV23" s="38"/>
      <c r="AW23" s="70"/>
    </row>
    <row r="24" spans="2:49" x14ac:dyDescent="0.45">
      <c r="B24" s="66"/>
      <c r="C24" s="93"/>
      <c r="D24" s="224">
        <f>SUM(D21:D23)</f>
        <v>0</v>
      </c>
      <c r="E24" s="95"/>
      <c r="F24" s="306"/>
      <c r="G24" s="38"/>
      <c r="H24" s="70"/>
      <c r="K24" s="66"/>
      <c r="L24" s="93"/>
      <c r="M24" s="94"/>
      <c r="N24" s="95"/>
      <c r="O24" s="306"/>
      <c r="P24" s="38"/>
      <c r="Q24" s="70"/>
      <c r="S24" s="66"/>
      <c r="T24" s="93"/>
      <c r="U24" s="94"/>
      <c r="V24" s="95"/>
      <c r="W24" s="306"/>
      <c r="X24" s="38"/>
      <c r="Y24" s="70"/>
      <c r="AA24" s="66"/>
      <c r="AB24" s="93"/>
      <c r="AC24" s="94"/>
      <c r="AD24" s="95"/>
      <c r="AE24" s="306"/>
      <c r="AF24" s="38"/>
      <c r="AG24" s="70"/>
      <c r="AI24" s="66"/>
      <c r="AJ24" s="93"/>
      <c r="AK24" s="94"/>
      <c r="AL24" s="95"/>
      <c r="AM24" s="408"/>
      <c r="AN24" s="38"/>
      <c r="AO24" s="70"/>
      <c r="AQ24" s="66"/>
      <c r="AR24" s="93"/>
      <c r="AS24" s="94"/>
      <c r="AT24" s="95"/>
      <c r="AU24" s="414"/>
      <c r="AV24" s="38"/>
      <c r="AW24" s="70"/>
    </row>
    <row r="25" spans="2:49" x14ac:dyDescent="0.45">
      <c r="B25" s="71"/>
      <c r="C25" s="307"/>
      <c r="D25" s="307"/>
      <c r="E25" s="307"/>
      <c r="F25" s="307"/>
      <c r="G25" s="307"/>
      <c r="H25" s="72"/>
      <c r="K25" s="71"/>
      <c r="L25" s="307"/>
      <c r="M25" s="307"/>
      <c r="N25" s="307"/>
      <c r="O25" s="307"/>
      <c r="P25" s="307"/>
      <c r="Q25" s="72"/>
      <c r="S25" s="71"/>
      <c r="T25" s="307"/>
      <c r="U25" s="307"/>
      <c r="V25" s="307"/>
      <c r="W25" s="307"/>
      <c r="X25" s="307"/>
      <c r="Y25" s="72"/>
      <c r="AA25" s="71"/>
      <c r="AB25" s="307"/>
      <c r="AC25" s="307"/>
      <c r="AD25" s="307"/>
      <c r="AE25" s="307"/>
      <c r="AF25" s="307"/>
      <c r="AG25" s="72"/>
      <c r="AI25" s="71"/>
      <c r="AJ25" s="409"/>
      <c r="AK25" s="409"/>
      <c r="AL25" s="409"/>
      <c r="AM25" s="409"/>
      <c r="AN25" s="409"/>
      <c r="AO25" s="72"/>
      <c r="AQ25" s="71"/>
      <c r="AR25" s="409"/>
      <c r="AS25" s="409"/>
      <c r="AT25" s="409"/>
      <c r="AU25" s="410"/>
      <c r="AV25" s="409"/>
      <c r="AW25" s="72"/>
    </row>
    <row r="26" spans="2:49" x14ac:dyDescent="0.45">
      <c r="B26" s="75" t="s">
        <v>628</v>
      </c>
      <c r="C26" s="75" t="s">
        <v>600</v>
      </c>
      <c r="D26" s="75" t="s">
        <v>629</v>
      </c>
      <c r="E26" s="75" t="s">
        <v>749</v>
      </c>
      <c r="F26" s="75" t="s">
        <v>630</v>
      </c>
      <c r="G26" s="75" t="s">
        <v>625</v>
      </c>
      <c r="H26" s="75" t="s">
        <v>632</v>
      </c>
      <c r="K26" s="75" t="s">
        <v>628</v>
      </c>
      <c r="L26" s="75" t="s">
        <v>600</v>
      </c>
      <c r="M26" s="75" t="s">
        <v>629</v>
      </c>
      <c r="N26" s="75" t="s">
        <v>634</v>
      </c>
      <c r="O26" s="75" t="s">
        <v>630</v>
      </c>
      <c r="P26" s="75" t="s">
        <v>631</v>
      </c>
      <c r="Q26" s="75" t="s">
        <v>632</v>
      </c>
      <c r="S26" s="75" t="s">
        <v>628</v>
      </c>
      <c r="T26" s="75" t="s">
        <v>600</v>
      </c>
      <c r="U26" s="75" t="s">
        <v>629</v>
      </c>
      <c r="V26" s="75" t="s">
        <v>634</v>
      </c>
      <c r="W26" s="75" t="s">
        <v>630</v>
      </c>
      <c r="X26" s="75" t="s">
        <v>631</v>
      </c>
      <c r="Y26" s="75" t="s">
        <v>632</v>
      </c>
      <c r="AA26" s="75" t="s">
        <v>628</v>
      </c>
      <c r="AB26" s="75" t="s">
        <v>600</v>
      </c>
      <c r="AC26" s="75" t="s">
        <v>629</v>
      </c>
      <c r="AD26" s="75" t="s">
        <v>634</v>
      </c>
      <c r="AE26" s="75" t="s">
        <v>630</v>
      </c>
      <c r="AF26" s="75" t="s">
        <v>631</v>
      </c>
      <c r="AG26" s="75" t="s">
        <v>632</v>
      </c>
      <c r="AI26" s="75" t="s">
        <v>628</v>
      </c>
      <c r="AJ26" s="75" t="s">
        <v>600</v>
      </c>
      <c r="AK26" s="75" t="s">
        <v>629</v>
      </c>
      <c r="AL26" s="75" t="s">
        <v>630</v>
      </c>
      <c r="AM26" s="75" t="s">
        <v>915</v>
      </c>
      <c r="AN26" s="75" t="s">
        <v>625</v>
      </c>
      <c r="AO26" s="75" t="s">
        <v>632</v>
      </c>
      <c r="AQ26" s="75" t="s">
        <v>628</v>
      </c>
      <c r="AR26" s="75" t="s">
        <v>600</v>
      </c>
      <c r="AS26" s="75" t="s">
        <v>629</v>
      </c>
      <c r="AT26" s="75" t="s">
        <v>630</v>
      </c>
      <c r="AU26" s="75" t="s">
        <v>915</v>
      </c>
      <c r="AV26" s="75" t="s">
        <v>625</v>
      </c>
      <c r="AW26" s="75" t="s">
        <v>632</v>
      </c>
    </row>
    <row r="27" spans="2:49" x14ac:dyDescent="0.45">
      <c r="B27" s="308">
        <v>1</v>
      </c>
      <c r="C27" s="144">
        <f ca="1">TODAY()</f>
        <v>44061</v>
      </c>
      <c r="D27" s="73">
        <v>50000</v>
      </c>
      <c r="E27" s="56"/>
      <c r="F27" s="56"/>
      <c r="G27" s="56"/>
      <c r="H27" s="73">
        <f>SUM(D27+E27+F27+G27)</f>
        <v>50000</v>
      </c>
      <c r="I27" s="289">
        <f>H27/$D$16</f>
        <v>7.6409370845240462E-3</v>
      </c>
      <c r="J27" s="289">
        <f>I27</f>
        <v>7.6409370845240462E-3</v>
      </c>
      <c r="K27" s="308">
        <v>1</v>
      </c>
      <c r="L27" s="144">
        <f ca="1">C27</f>
        <v>44061</v>
      </c>
      <c r="M27" s="73">
        <v>50000</v>
      </c>
      <c r="N27" s="56"/>
      <c r="O27" s="56"/>
      <c r="P27" s="56"/>
      <c r="Q27" s="73">
        <f>SUM(M27+N27+O27-P27)</f>
        <v>50000</v>
      </c>
      <c r="S27" s="308">
        <v>1</v>
      </c>
      <c r="T27" s="144">
        <f ca="1">C27</f>
        <v>44061</v>
      </c>
      <c r="U27" s="73">
        <v>50000</v>
      </c>
      <c r="V27" s="56"/>
      <c r="W27" s="56"/>
      <c r="X27" s="56"/>
      <c r="Y27" s="73">
        <f>SUM(U27+V27+W27-X27)</f>
        <v>50000</v>
      </c>
      <c r="AA27" s="308">
        <v>1</v>
      </c>
      <c r="AB27" s="144">
        <f ca="1">C27</f>
        <v>44061</v>
      </c>
      <c r="AC27" s="73">
        <v>50000</v>
      </c>
      <c r="AD27" s="56"/>
      <c r="AE27" s="56"/>
      <c r="AF27" s="56"/>
      <c r="AG27" s="73">
        <f>SUM(AC27+AD27+AE27-AF27)</f>
        <v>50000</v>
      </c>
      <c r="AI27" s="411">
        <v>1</v>
      </c>
      <c r="AJ27" s="144">
        <f>K27</f>
        <v>1</v>
      </c>
      <c r="AK27" s="73">
        <v>50000</v>
      </c>
      <c r="AL27" s="56"/>
      <c r="AM27" s="56"/>
      <c r="AN27" s="56"/>
      <c r="AO27" s="73">
        <f>SUM(AK27+AL27+AM27+AN27)</f>
        <v>50000</v>
      </c>
      <c r="AQ27" s="411">
        <v>1</v>
      </c>
      <c r="AR27" s="144">
        <f>S27</f>
        <v>1</v>
      </c>
      <c r="AS27" s="73">
        <v>50000</v>
      </c>
      <c r="AT27" s="56"/>
      <c r="AU27" s="56"/>
      <c r="AV27" s="56"/>
      <c r="AW27" s="73">
        <f>SUM(AS27+AT27+AU27+AV27)</f>
        <v>50000</v>
      </c>
    </row>
    <row r="28" spans="2:49" x14ac:dyDescent="0.45">
      <c r="B28" s="308">
        <v>2</v>
      </c>
      <c r="C28" s="74">
        <f ca="1">EDATE(C27,1)</f>
        <v>44092</v>
      </c>
      <c r="D28" s="56"/>
      <c r="E28" s="45"/>
      <c r="F28" s="56"/>
      <c r="G28" s="56"/>
      <c r="H28" s="73">
        <f t="shared" ref="H28:H72" si="0">SUM(D28+E28+F28+G28)</f>
        <v>0</v>
      </c>
      <c r="I28" s="289">
        <f t="shared" ref="I28:I41" si="1">H28/$D$16</f>
        <v>0</v>
      </c>
      <c r="J28" s="289">
        <f>I28+J27</f>
        <v>7.6409370845240462E-3</v>
      </c>
      <c r="K28" s="308">
        <v>2</v>
      </c>
      <c r="L28" s="74">
        <f ca="1">EDATE(L27,1)</f>
        <v>44092</v>
      </c>
      <c r="M28" s="56"/>
      <c r="N28" s="45">
        <f>(M16*95%)-M27</f>
        <v>5606965</v>
      </c>
      <c r="O28" s="56"/>
      <c r="P28" s="56"/>
      <c r="Q28" s="73">
        <f t="shared" ref="Q28:Q72" si="2">SUM(M28+N28+O28-P28)</f>
        <v>5606965</v>
      </c>
      <c r="S28" s="308">
        <v>2</v>
      </c>
      <c r="T28" s="74">
        <f ca="1">EDATE(T27,1)</f>
        <v>44092</v>
      </c>
      <c r="U28" s="56"/>
      <c r="V28" s="45">
        <f>(30%*U16)-U27</f>
        <v>1913110</v>
      </c>
      <c r="W28" s="56"/>
      <c r="X28" s="56"/>
      <c r="Y28" s="73">
        <f t="shared" ref="Y28:Y72" si="3">SUM(U28+V28+W28-X28)</f>
        <v>1913110</v>
      </c>
      <c r="AA28" s="308">
        <v>2</v>
      </c>
      <c r="AB28" s="74">
        <f ca="1">EDATE(AB27,1)</f>
        <v>44092</v>
      </c>
      <c r="AC28" s="56"/>
      <c r="AD28" s="45">
        <f>(AC16*10%)-AC27</f>
        <v>604370</v>
      </c>
      <c r="AE28" s="56"/>
      <c r="AF28" s="56"/>
      <c r="AG28" s="73">
        <f t="shared" ref="AG28:AG72" si="4">SUM(AC28+AD28+AE28-AF28)</f>
        <v>604370</v>
      </c>
      <c r="AI28" s="411">
        <v>2</v>
      </c>
      <c r="AJ28" s="74">
        <f>EDATE(AJ27,1)</f>
        <v>32</v>
      </c>
      <c r="AK28" s="56"/>
      <c r="AL28" s="45">
        <v>50000</v>
      </c>
      <c r="AM28" s="56"/>
      <c r="AN28" s="56"/>
      <c r="AO28" s="73">
        <f t="shared" ref="AO28:AO64" si="5">SUM(AK28+AL28+AM28+AN28)</f>
        <v>50000</v>
      </c>
      <c r="AQ28" s="411">
        <v>2</v>
      </c>
      <c r="AR28" s="74">
        <f>EDATE(AR27,1)</f>
        <v>32</v>
      </c>
      <c r="AS28" s="56"/>
      <c r="AT28" s="45">
        <v>50000</v>
      </c>
      <c r="AU28" s="56"/>
      <c r="AV28" s="56"/>
      <c r="AW28" s="73">
        <f t="shared" ref="AW28:AW64" si="6">SUM(AS28+AT28+AU28+AV28)</f>
        <v>50000</v>
      </c>
    </row>
    <row r="29" spans="2:49" x14ac:dyDescent="0.45">
      <c r="B29" s="308">
        <v>3</v>
      </c>
      <c r="C29" s="74">
        <f t="shared" ref="C29:C72" ca="1" si="7">EDATE(C28,1)</f>
        <v>44122</v>
      </c>
      <c r="D29" s="56"/>
      <c r="E29" s="45"/>
      <c r="F29" s="45"/>
      <c r="G29" s="56"/>
      <c r="H29" s="73">
        <f t="shared" si="0"/>
        <v>0</v>
      </c>
      <c r="I29" s="289">
        <f t="shared" si="1"/>
        <v>0</v>
      </c>
      <c r="J29" s="289">
        <f t="shared" ref="J29:J41" si="8">I29+J28</f>
        <v>7.6409370845240462E-3</v>
      </c>
      <c r="K29" s="308">
        <v>3</v>
      </c>
      <c r="L29" s="74">
        <f t="shared" ref="L29:L72" ca="1" si="9">EDATE(L28,1)</f>
        <v>44122</v>
      </c>
      <c r="M29" s="56"/>
      <c r="N29" s="45">
        <f>(M16-SUM(M27:N28))</f>
        <v>297735</v>
      </c>
      <c r="O29" s="56"/>
      <c r="P29" s="56"/>
      <c r="Q29" s="73">
        <f t="shared" si="2"/>
        <v>297735</v>
      </c>
      <c r="S29" s="308">
        <v>3</v>
      </c>
      <c r="T29" s="74">
        <f t="shared" ref="T29:T72" ca="1" si="10">EDATE(T28,1)</f>
        <v>44122</v>
      </c>
      <c r="U29" s="56"/>
      <c r="V29" s="45"/>
      <c r="W29" s="73">
        <f>(70%*$U$16)/36</f>
        <v>127238.61111111111</v>
      </c>
      <c r="X29" s="56"/>
      <c r="Y29" s="73">
        <f t="shared" si="3"/>
        <v>127238.61111111111</v>
      </c>
      <c r="AA29" s="308">
        <v>3</v>
      </c>
      <c r="AB29" s="74">
        <f t="shared" ref="AB29:AB72" ca="1" si="11">EDATE(AB28,1)</f>
        <v>44122</v>
      </c>
      <c r="AC29" s="56"/>
      <c r="AD29" s="45"/>
      <c r="AE29" s="73">
        <f>(AC16*40%)/24</f>
        <v>109061.66666666667</v>
      </c>
      <c r="AF29" s="56"/>
      <c r="AG29" s="73">
        <f t="shared" si="4"/>
        <v>109061.66666666667</v>
      </c>
      <c r="AI29" s="411">
        <v>3</v>
      </c>
      <c r="AJ29" s="74">
        <f t="shared" ref="AJ29:AJ72" si="12">EDATE(AJ28,1)</f>
        <v>61</v>
      </c>
      <c r="AK29" s="56"/>
      <c r="AL29" s="45">
        <f>AL28</f>
        <v>50000</v>
      </c>
      <c r="AM29" s="73"/>
      <c r="AN29" s="56"/>
      <c r="AO29" s="73">
        <f t="shared" si="5"/>
        <v>50000</v>
      </c>
      <c r="AQ29" s="411">
        <v>3</v>
      </c>
      <c r="AR29" s="74">
        <f t="shared" ref="AR29:AR72" si="13">EDATE(AR28,1)</f>
        <v>61</v>
      </c>
      <c r="AS29" s="56"/>
      <c r="AT29" s="45">
        <f>AT28</f>
        <v>50000</v>
      </c>
      <c r="AU29" s="73"/>
      <c r="AV29" s="56"/>
      <c r="AW29" s="73">
        <f t="shared" si="6"/>
        <v>50000</v>
      </c>
    </row>
    <row r="30" spans="2:49" x14ac:dyDescent="0.45">
      <c r="B30" s="308">
        <v>4</v>
      </c>
      <c r="C30" s="74">
        <f t="shared" ca="1" si="7"/>
        <v>44153</v>
      </c>
      <c r="D30" s="56"/>
      <c r="E30" s="45"/>
      <c r="F30" s="45"/>
      <c r="G30" s="56"/>
      <c r="H30" s="73">
        <f t="shared" si="0"/>
        <v>0</v>
      </c>
      <c r="I30" s="289">
        <f t="shared" si="1"/>
        <v>0</v>
      </c>
      <c r="J30" s="289">
        <f t="shared" si="8"/>
        <v>7.6409370845240462E-3</v>
      </c>
      <c r="K30" s="308">
        <v>4</v>
      </c>
      <c r="L30" s="74">
        <f t="shared" ca="1" si="9"/>
        <v>44153</v>
      </c>
      <c r="M30" s="56"/>
      <c r="N30" s="56"/>
      <c r="O30" s="56"/>
      <c r="P30" s="56"/>
      <c r="Q30" s="73">
        <f t="shared" si="2"/>
        <v>0</v>
      </c>
      <c r="S30" s="308">
        <v>4</v>
      </c>
      <c r="T30" s="74">
        <f t="shared" ca="1" si="10"/>
        <v>44153</v>
      </c>
      <c r="U30" s="56"/>
      <c r="V30" s="56"/>
      <c r="W30" s="73">
        <f t="shared" ref="W30:W64" si="14">(70%*$U$16)/36</f>
        <v>127238.61111111111</v>
      </c>
      <c r="X30" s="56"/>
      <c r="Y30" s="73">
        <f t="shared" si="3"/>
        <v>127238.61111111111</v>
      </c>
      <c r="AA30" s="308">
        <v>4</v>
      </c>
      <c r="AB30" s="74">
        <f t="shared" ca="1" si="11"/>
        <v>44153</v>
      </c>
      <c r="AC30" s="56"/>
      <c r="AD30" s="45"/>
      <c r="AE30" s="73">
        <f>AE29</f>
        <v>109061.66666666667</v>
      </c>
      <c r="AF30" s="56"/>
      <c r="AG30" s="73">
        <f t="shared" si="4"/>
        <v>109061.66666666667</v>
      </c>
      <c r="AI30" s="411">
        <v>4</v>
      </c>
      <c r="AJ30" s="74">
        <f t="shared" si="12"/>
        <v>92</v>
      </c>
      <c r="AK30" s="56"/>
      <c r="AL30" s="45">
        <f t="shared" ref="AL30:AL50" si="15">AL29</f>
        <v>50000</v>
      </c>
      <c r="AM30" s="73"/>
      <c r="AN30" s="56"/>
      <c r="AO30" s="73">
        <f t="shared" si="5"/>
        <v>50000</v>
      </c>
      <c r="AQ30" s="411">
        <v>4</v>
      </c>
      <c r="AR30" s="74">
        <f t="shared" si="13"/>
        <v>92</v>
      </c>
      <c r="AS30" s="56"/>
      <c r="AT30" s="45">
        <f t="shared" ref="AT30:AT38" si="16">AT29</f>
        <v>50000</v>
      </c>
      <c r="AU30" s="73"/>
      <c r="AV30" s="56"/>
      <c r="AW30" s="73">
        <f t="shared" si="6"/>
        <v>50000</v>
      </c>
    </row>
    <row r="31" spans="2:49" x14ac:dyDescent="0.45">
      <c r="B31" s="308">
        <v>5</v>
      </c>
      <c r="C31" s="74">
        <f t="shared" ca="1" si="7"/>
        <v>44183</v>
      </c>
      <c r="D31" s="56"/>
      <c r="E31" s="45"/>
      <c r="F31" s="45"/>
      <c r="G31" s="56"/>
      <c r="H31" s="73">
        <f t="shared" si="0"/>
        <v>0</v>
      </c>
      <c r="I31" s="289">
        <f t="shared" si="1"/>
        <v>0</v>
      </c>
      <c r="J31" s="289">
        <f t="shared" si="8"/>
        <v>7.6409370845240462E-3</v>
      </c>
      <c r="K31" s="308">
        <v>5</v>
      </c>
      <c r="L31" s="74">
        <f t="shared" ca="1" si="9"/>
        <v>44183</v>
      </c>
      <c r="M31" s="56"/>
      <c r="N31" s="56"/>
      <c r="O31" s="56"/>
      <c r="P31" s="56"/>
      <c r="Q31" s="73">
        <f t="shared" si="2"/>
        <v>0</v>
      </c>
      <c r="S31" s="308">
        <v>5</v>
      </c>
      <c r="T31" s="74">
        <f t="shared" ca="1" si="10"/>
        <v>44183</v>
      </c>
      <c r="U31" s="56"/>
      <c r="V31" s="56"/>
      <c r="W31" s="73">
        <f t="shared" si="14"/>
        <v>127238.61111111111</v>
      </c>
      <c r="X31" s="56"/>
      <c r="Y31" s="73">
        <f t="shared" si="3"/>
        <v>127238.61111111111</v>
      </c>
      <c r="AA31" s="308">
        <v>5</v>
      </c>
      <c r="AB31" s="74">
        <f t="shared" ca="1" si="11"/>
        <v>44183</v>
      </c>
      <c r="AC31" s="56"/>
      <c r="AD31" s="45"/>
      <c r="AE31" s="73">
        <f t="shared" ref="AE31:AE52" si="17">AE30</f>
        <v>109061.66666666667</v>
      </c>
      <c r="AF31" s="56"/>
      <c r="AG31" s="73">
        <f t="shared" si="4"/>
        <v>109061.66666666667</v>
      </c>
      <c r="AI31" s="411">
        <v>5</v>
      </c>
      <c r="AJ31" s="74">
        <f t="shared" si="12"/>
        <v>122</v>
      </c>
      <c r="AK31" s="56"/>
      <c r="AL31" s="45">
        <f t="shared" si="15"/>
        <v>50000</v>
      </c>
      <c r="AM31" s="73"/>
      <c r="AN31" s="56"/>
      <c r="AO31" s="73">
        <f t="shared" si="5"/>
        <v>50000</v>
      </c>
      <c r="AQ31" s="411">
        <v>5</v>
      </c>
      <c r="AR31" s="74">
        <f t="shared" si="13"/>
        <v>122</v>
      </c>
      <c r="AS31" s="56"/>
      <c r="AT31" s="45">
        <f t="shared" si="16"/>
        <v>50000</v>
      </c>
      <c r="AU31" s="73"/>
      <c r="AV31" s="56"/>
      <c r="AW31" s="73">
        <f t="shared" si="6"/>
        <v>50000</v>
      </c>
    </row>
    <row r="32" spans="2:49" x14ac:dyDescent="0.45">
      <c r="B32" s="308">
        <v>6</v>
      </c>
      <c r="C32" s="74">
        <f t="shared" ca="1" si="7"/>
        <v>44214</v>
      </c>
      <c r="D32" s="56"/>
      <c r="E32" s="45"/>
      <c r="F32" s="45"/>
      <c r="G32" s="56"/>
      <c r="H32" s="73">
        <f t="shared" si="0"/>
        <v>0</v>
      </c>
      <c r="I32" s="289">
        <f t="shared" si="1"/>
        <v>0</v>
      </c>
      <c r="J32" s="289">
        <f t="shared" si="8"/>
        <v>7.6409370845240462E-3</v>
      </c>
      <c r="K32" s="308">
        <v>6</v>
      </c>
      <c r="L32" s="74">
        <f t="shared" ca="1" si="9"/>
        <v>44214</v>
      </c>
      <c r="M32" s="56"/>
      <c r="N32" s="56"/>
      <c r="O32" s="56"/>
      <c r="P32" s="56"/>
      <c r="Q32" s="73">
        <f t="shared" si="2"/>
        <v>0</v>
      </c>
      <c r="S32" s="308">
        <v>6</v>
      </c>
      <c r="T32" s="74">
        <f t="shared" ca="1" si="10"/>
        <v>44214</v>
      </c>
      <c r="U32" s="56"/>
      <c r="V32" s="56"/>
      <c r="W32" s="73">
        <f t="shared" si="14"/>
        <v>127238.61111111111</v>
      </c>
      <c r="X32" s="56"/>
      <c r="Y32" s="73">
        <f t="shared" si="3"/>
        <v>127238.61111111111</v>
      </c>
      <c r="AA32" s="308">
        <v>6</v>
      </c>
      <c r="AB32" s="74">
        <f t="shared" ca="1" si="11"/>
        <v>44214</v>
      </c>
      <c r="AC32" s="56"/>
      <c r="AD32" s="45"/>
      <c r="AE32" s="73">
        <f t="shared" si="17"/>
        <v>109061.66666666667</v>
      </c>
      <c r="AF32" s="56"/>
      <c r="AG32" s="73">
        <f t="shared" si="4"/>
        <v>109061.66666666667</v>
      </c>
      <c r="AI32" s="411">
        <v>6</v>
      </c>
      <c r="AJ32" s="74">
        <f t="shared" si="12"/>
        <v>153</v>
      </c>
      <c r="AK32" s="56"/>
      <c r="AL32" s="45">
        <f t="shared" si="15"/>
        <v>50000</v>
      </c>
      <c r="AM32" s="73"/>
      <c r="AN32" s="56"/>
      <c r="AO32" s="73">
        <f t="shared" si="5"/>
        <v>50000</v>
      </c>
      <c r="AQ32" s="411">
        <v>6</v>
      </c>
      <c r="AR32" s="74">
        <f t="shared" si="13"/>
        <v>153</v>
      </c>
      <c r="AS32" s="56"/>
      <c r="AT32" s="45">
        <f t="shared" si="16"/>
        <v>50000</v>
      </c>
      <c r="AU32" s="73"/>
      <c r="AV32" s="56"/>
      <c r="AW32" s="73">
        <f t="shared" si="6"/>
        <v>50000</v>
      </c>
    </row>
    <row r="33" spans="2:49" x14ac:dyDescent="0.45">
      <c r="B33" s="308">
        <v>7</v>
      </c>
      <c r="C33" s="74">
        <f t="shared" ca="1" si="7"/>
        <v>44245</v>
      </c>
      <c r="D33" s="56"/>
      <c r="E33" s="45"/>
      <c r="F33" s="45"/>
      <c r="G33" s="56"/>
      <c r="H33" s="73">
        <f t="shared" si="0"/>
        <v>0</v>
      </c>
      <c r="I33" s="289">
        <f t="shared" si="1"/>
        <v>0</v>
      </c>
      <c r="J33" s="289">
        <f t="shared" si="8"/>
        <v>7.6409370845240462E-3</v>
      </c>
      <c r="K33" s="308">
        <v>7</v>
      </c>
      <c r="L33" s="74">
        <f t="shared" ca="1" si="9"/>
        <v>44245</v>
      </c>
      <c r="M33" s="56"/>
      <c r="N33" s="56"/>
      <c r="O33" s="56"/>
      <c r="P33" s="56"/>
      <c r="Q33" s="73">
        <f t="shared" si="2"/>
        <v>0</v>
      </c>
      <c r="S33" s="308">
        <v>7</v>
      </c>
      <c r="T33" s="74">
        <f t="shared" ca="1" si="10"/>
        <v>44245</v>
      </c>
      <c r="U33" s="56"/>
      <c r="V33" s="56"/>
      <c r="W33" s="73">
        <f t="shared" si="14"/>
        <v>127238.61111111111</v>
      </c>
      <c r="X33" s="56"/>
      <c r="Y33" s="73">
        <f t="shared" si="3"/>
        <v>127238.61111111111</v>
      </c>
      <c r="AA33" s="308">
        <v>7</v>
      </c>
      <c r="AB33" s="74">
        <f t="shared" ca="1" si="11"/>
        <v>44245</v>
      </c>
      <c r="AC33" s="56"/>
      <c r="AD33" s="45"/>
      <c r="AE33" s="73">
        <f t="shared" si="17"/>
        <v>109061.66666666667</v>
      </c>
      <c r="AF33" s="56"/>
      <c r="AG33" s="73">
        <f t="shared" si="4"/>
        <v>109061.66666666667</v>
      </c>
      <c r="AI33" s="411">
        <v>7</v>
      </c>
      <c r="AJ33" s="74">
        <f t="shared" si="12"/>
        <v>183</v>
      </c>
      <c r="AK33" s="56"/>
      <c r="AL33" s="45">
        <f t="shared" si="15"/>
        <v>50000</v>
      </c>
      <c r="AM33" s="73"/>
      <c r="AN33" s="56"/>
      <c r="AO33" s="73">
        <f t="shared" si="5"/>
        <v>50000</v>
      </c>
      <c r="AQ33" s="411">
        <v>7</v>
      </c>
      <c r="AR33" s="74">
        <f t="shared" si="13"/>
        <v>183</v>
      </c>
      <c r="AS33" s="56"/>
      <c r="AT33" s="45"/>
      <c r="AU33" s="73">
        <f>AS16*2.5%</f>
        <v>163592.5</v>
      </c>
      <c r="AV33" s="56"/>
      <c r="AW33" s="73">
        <f t="shared" si="6"/>
        <v>163592.5</v>
      </c>
    </row>
    <row r="34" spans="2:49" x14ac:dyDescent="0.45">
      <c r="B34" s="308">
        <v>8</v>
      </c>
      <c r="C34" s="74">
        <f t="shared" ca="1" si="7"/>
        <v>44273</v>
      </c>
      <c r="D34" s="56"/>
      <c r="E34" s="45"/>
      <c r="F34" s="45"/>
      <c r="G34" s="56"/>
      <c r="H34" s="73">
        <f t="shared" si="0"/>
        <v>0</v>
      </c>
      <c r="I34" s="289">
        <f t="shared" si="1"/>
        <v>0</v>
      </c>
      <c r="J34" s="289">
        <f t="shared" si="8"/>
        <v>7.6409370845240462E-3</v>
      </c>
      <c r="K34" s="308">
        <v>8</v>
      </c>
      <c r="L34" s="74">
        <f t="shared" ca="1" si="9"/>
        <v>44273</v>
      </c>
      <c r="M34" s="56"/>
      <c r="N34" s="56"/>
      <c r="O34" s="56"/>
      <c r="P34" s="56"/>
      <c r="Q34" s="73">
        <f t="shared" si="2"/>
        <v>0</v>
      </c>
      <c r="S34" s="308">
        <v>8</v>
      </c>
      <c r="T34" s="74">
        <f t="shared" ca="1" si="10"/>
        <v>44273</v>
      </c>
      <c r="U34" s="56"/>
      <c r="V34" s="56"/>
      <c r="W34" s="73">
        <f t="shared" si="14"/>
        <v>127238.61111111111</v>
      </c>
      <c r="X34" s="56"/>
      <c r="Y34" s="73">
        <f t="shared" si="3"/>
        <v>127238.61111111111</v>
      </c>
      <c r="AA34" s="308">
        <v>8</v>
      </c>
      <c r="AB34" s="74">
        <f t="shared" ca="1" si="11"/>
        <v>44273</v>
      </c>
      <c r="AC34" s="56"/>
      <c r="AD34" s="45"/>
      <c r="AE34" s="73">
        <f t="shared" si="17"/>
        <v>109061.66666666667</v>
      </c>
      <c r="AF34" s="56"/>
      <c r="AG34" s="73">
        <f t="shared" si="4"/>
        <v>109061.66666666667</v>
      </c>
      <c r="AI34" s="411">
        <v>8</v>
      </c>
      <c r="AJ34" s="74">
        <f t="shared" si="12"/>
        <v>214</v>
      </c>
      <c r="AK34" s="56"/>
      <c r="AL34" s="45">
        <f t="shared" si="15"/>
        <v>50000</v>
      </c>
      <c r="AM34" s="73"/>
      <c r="AN34" s="56"/>
      <c r="AO34" s="73">
        <f t="shared" si="5"/>
        <v>50000</v>
      </c>
      <c r="AQ34" s="411">
        <v>8</v>
      </c>
      <c r="AR34" s="74">
        <f t="shared" si="13"/>
        <v>214</v>
      </c>
      <c r="AS34" s="56"/>
      <c r="AT34" s="45">
        <f>AT32</f>
        <v>50000</v>
      </c>
      <c r="AU34" s="73"/>
      <c r="AV34" s="56"/>
      <c r="AW34" s="73">
        <f t="shared" si="6"/>
        <v>50000</v>
      </c>
    </row>
    <row r="35" spans="2:49" x14ac:dyDescent="0.45">
      <c r="B35" s="308">
        <v>9</v>
      </c>
      <c r="C35" s="74">
        <f t="shared" ca="1" si="7"/>
        <v>44304</v>
      </c>
      <c r="D35" s="56"/>
      <c r="E35" s="45"/>
      <c r="F35" s="45"/>
      <c r="G35" s="56"/>
      <c r="H35" s="73">
        <f t="shared" si="0"/>
        <v>0</v>
      </c>
      <c r="I35" s="289">
        <f t="shared" si="1"/>
        <v>0</v>
      </c>
      <c r="J35" s="289">
        <f t="shared" si="8"/>
        <v>7.6409370845240462E-3</v>
      </c>
      <c r="K35" s="308">
        <v>9</v>
      </c>
      <c r="L35" s="74">
        <f t="shared" ca="1" si="9"/>
        <v>44304</v>
      </c>
      <c r="M35" s="56"/>
      <c r="N35" s="56"/>
      <c r="O35" s="56"/>
      <c r="P35" s="56"/>
      <c r="Q35" s="73">
        <f t="shared" si="2"/>
        <v>0</v>
      </c>
      <c r="S35" s="308">
        <v>9</v>
      </c>
      <c r="T35" s="74">
        <f t="shared" ca="1" si="10"/>
        <v>44304</v>
      </c>
      <c r="U35" s="56"/>
      <c r="V35" s="56"/>
      <c r="W35" s="73">
        <f t="shared" si="14"/>
        <v>127238.61111111111</v>
      </c>
      <c r="X35" s="56"/>
      <c r="Y35" s="73">
        <f t="shared" si="3"/>
        <v>127238.61111111111</v>
      </c>
      <c r="AA35" s="308">
        <v>9</v>
      </c>
      <c r="AB35" s="74">
        <f t="shared" ca="1" si="11"/>
        <v>44304</v>
      </c>
      <c r="AC35" s="56"/>
      <c r="AD35" s="45"/>
      <c r="AE35" s="73">
        <f t="shared" si="17"/>
        <v>109061.66666666667</v>
      </c>
      <c r="AF35" s="56"/>
      <c r="AG35" s="73">
        <f t="shared" si="4"/>
        <v>109061.66666666667</v>
      </c>
      <c r="AI35" s="411">
        <v>9</v>
      </c>
      <c r="AJ35" s="74">
        <f t="shared" si="12"/>
        <v>245</v>
      </c>
      <c r="AK35" s="56"/>
      <c r="AL35" s="45">
        <f t="shared" si="15"/>
        <v>50000</v>
      </c>
      <c r="AM35" s="73"/>
      <c r="AN35" s="56"/>
      <c r="AO35" s="73">
        <f t="shared" si="5"/>
        <v>50000</v>
      </c>
      <c r="AQ35" s="411">
        <v>9</v>
      </c>
      <c r="AR35" s="74">
        <f t="shared" si="13"/>
        <v>245</v>
      </c>
      <c r="AS35" s="56"/>
      <c r="AT35" s="45">
        <f t="shared" si="16"/>
        <v>50000</v>
      </c>
      <c r="AU35" s="73"/>
      <c r="AV35" s="56"/>
      <c r="AW35" s="73">
        <f t="shared" si="6"/>
        <v>50000</v>
      </c>
    </row>
    <row r="36" spans="2:49" x14ac:dyDescent="0.45">
      <c r="B36" s="308">
        <v>10</v>
      </c>
      <c r="C36" s="74">
        <f t="shared" ca="1" si="7"/>
        <v>44334</v>
      </c>
      <c r="D36" s="56"/>
      <c r="E36" s="45"/>
      <c r="F36" s="45"/>
      <c r="G36" s="56"/>
      <c r="H36" s="73">
        <f t="shared" si="0"/>
        <v>0</v>
      </c>
      <c r="I36" s="289">
        <f t="shared" si="1"/>
        <v>0</v>
      </c>
      <c r="J36" s="289">
        <f t="shared" si="8"/>
        <v>7.6409370845240462E-3</v>
      </c>
      <c r="K36" s="308">
        <v>10</v>
      </c>
      <c r="L36" s="74">
        <f t="shared" ca="1" si="9"/>
        <v>44334</v>
      </c>
      <c r="M36" s="56"/>
      <c r="N36" s="56"/>
      <c r="O36" s="56"/>
      <c r="P36" s="56"/>
      <c r="Q36" s="73">
        <f t="shared" si="2"/>
        <v>0</v>
      </c>
      <c r="S36" s="308">
        <v>10</v>
      </c>
      <c r="T36" s="74">
        <f t="shared" ca="1" si="10"/>
        <v>44334</v>
      </c>
      <c r="U36" s="56"/>
      <c r="V36" s="56"/>
      <c r="W36" s="73">
        <f t="shared" si="14"/>
        <v>127238.61111111111</v>
      </c>
      <c r="X36" s="56"/>
      <c r="Y36" s="73">
        <f t="shared" si="3"/>
        <v>127238.61111111111</v>
      </c>
      <c r="AA36" s="308">
        <v>10</v>
      </c>
      <c r="AB36" s="74">
        <f t="shared" ca="1" si="11"/>
        <v>44334</v>
      </c>
      <c r="AC36" s="56"/>
      <c r="AD36" s="45"/>
      <c r="AE36" s="73">
        <f t="shared" si="17"/>
        <v>109061.66666666667</v>
      </c>
      <c r="AF36" s="56"/>
      <c r="AG36" s="73">
        <f t="shared" si="4"/>
        <v>109061.66666666667</v>
      </c>
      <c r="AI36" s="411">
        <v>10</v>
      </c>
      <c r="AJ36" s="74">
        <f t="shared" si="12"/>
        <v>275</v>
      </c>
      <c r="AK36" s="56"/>
      <c r="AL36" s="45">
        <f t="shared" si="15"/>
        <v>50000</v>
      </c>
      <c r="AM36" s="73"/>
      <c r="AN36" s="56"/>
      <c r="AO36" s="73">
        <f t="shared" si="5"/>
        <v>50000</v>
      </c>
      <c r="AQ36" s="411">
        <v>10</v>
      </c>
      <c r="AR36" s="74">
        <f t="shared" si="13"/>
        <v>275</v>
      </c>
      <c r="AS36" s="56"/>
      <c r="AT36" s="45">
        <f t="shared" si="16"/>
        <v>50000</v>
      </c>
      <c r="AU36" s="73"/>
      <c r="AV36" s="56"/>
      <c r="AW36" s="73">
        <f t="shared" si="6"/>
        <v>50000</v>
      </c>
    </row>
    <row r="37" spans="2:49" x14ac:dyDescent="0.45">
      <c r="B37" s="308">
        <v>11</v>
      </c>
      <c r="C37" s="74">
        <f t="shared" ca="1" si="7"/>
        <v>44365</v>
      </c>
      <c r="D37" s="56"/>
      <c r="E37" s="45"/>
      <c r="F37" s="45"/>
      <c r="G37" s="56"/>
      <c r="H37" s="73">
        <f t="shared" si="0"/>
        <v>0</v>
      </c>
      <c r="I37" s="289">
        <f t="shared" si="1"/>
        <v>0</v>
      </c>
      <c r="J37" s="289">
        <f t="shared" si="8"/>
        <v>7.6409370845240462E-3</v>
      </c>
      <c r="K37" s="308">
        <v>11</v>
      </c>
      <c r="L37" s="74">
        <f t="shared" ca="1" si="9"/>
        <v>44365</v>
      </c>
      <c r="M37" s="56"/>
      <c r="N37" s="56"/>
      <c r="O37" s="56"/>
      <c r="P37" s="56"/>
      <c r="Q37" s="73">
        <f t="shared" si="2"/>
        <v>0</v>
      </c>
      <c r="S37" s="308">
        <v>11</v>
      </c>
      <c r="T37" s="74">
        <f t="shared" ca="1" si="10"/>
        <v>44365</v>
      </c>
      <c r="U37" s="56"/>
      <c r="V37" s="56"/>
      <c r="W37" s="73">
        <f t="shared" si="14"/>
        <v>127238.61111111111</v>
      </c>
      <c r="X37" s="56"/>
      <c r="Y37" s="73">
        <f t="shared" si="3"/>
        <v>127238.61111111111</v>
      </c>
      <c r="AA37" s="308">
        <v>11</v>
      </c>
      <c r="AB37" s="74">
        <f t="shared" ca="1" si="11"/>
        <v>44365</v>
      </c>
      <c r="AC37" s="56"/>
      <c r="AD37" s="45"/>
      <c r="AE37" s="73">
        <f t="shared" si="17"/>
        <v>109061.66666666667</v>
      </c>
      <c r="AF37" s="56"/>
      <c r="AG37" s="73">
        <f t="shared" si="4"/>
        <v>109061.66666666667</v>
      </c>
      <c r="AI37" s="411">
        <v>11</v>
      </c>
      <c r="AJ37" s="74">
        <f t="shared" si="12"/>
        <v>306</v>
      </c>
      <c r="AK37" s="56"/>
      <c r="AL37" s="45">
        <f t="shared" si="15"/>
        <v>50000</v>
      </c>
      <c r="AM37" s="73"/>
      <c r="AN37" s="56"/>
      <c r="AO37" s="73">
        <f t="shared" si="5"/>
        <v>50000</v>
      </c>
      <c r="AQ37" s="411">
        <v>11</v>
      </c>
      <c r="AR37" s="74">
        <f t="shared" si="13"/>
        <v>306</v>
      </c>
      <c r="AS37" s="56"/>
      <c r="AT37" s="45">
        <f t="shared" si="16"/>
        <v>50000</v>
      </c>
      <c r="AU37" s="73"/>
      <c r="AV37" s="56"/>
      <c r="AW37" s="73">
        <f t="shared" si="6"/>
        <v>50000</v>
      </c>
    </row>
    <row r="38" spans="2:49" x14ac:dyDescent="0.45">
      <c r="B38" s="308">
        <v>12</v>
      </c>
      <c r="C38" s="74">
        <f t="shared" ca="1" si="7"/>
        <v>44395</v>
      </c>
      <c r="D38" s="56"/>
      <c r="E38" s="45"/>
      <c r="F38" s="45"/>
      <c r="G38" s="56"/>
      <c r="H38" s="73">
        <f t="shared" si="0"/>
        <v>0</v>
      </c>
      <c r="I38" s="289">
        <f t="shared" si="1"/>
        <v>0</v>
      </c>
      <c r="J38" s="289">
        <f t="shared" si="8"/>
        <v>7.6409370845240462E-3</v>
      </c>
      <c r="K38" s="308">
        <v>12</v>
      </c>
      <c r="L38" s="74">
        <f t="shared" ca="1" si="9"/>
        <v>44395</v>
      </c>
      <c r="M38" s="56"/>
      <c r="N38" s="56"/>
      <c r="O38" s="56"/>
      <c r="P38" s="56"/>
      <c r="Q38" s="73">
        <f t="shared" si="2"/>
        <v>0</v>
      </c>
      <c r="S38" s="308">
        <v>12</v>
      </c>
      <c r="T38" s="74">
        <f t="shared" ca="1" si="10"/>
        <v>44395</v>
      </c>
      <c r="U38" s="56"/>
      <c r="V38" s="56"/>
      <c r="W38" s="73">
        <f t="shared" si="14"/>
        <v>127238.61111111111</v>
      </c>
      <c r="X38" s="56"/>
      <c r="Y38" s="73">
        <f t="shared" si="3"/>
        <v>127238.61111111111</v>
      </c>
      <c r="AA38" s="308">
        <v>12</v>
      </c>
      <c r="AB38" s="74">
        <f t="shared" ca="1" si="11"/>
        <v>44395</v>
      </c>
      <c r="AC38" s="56"/>
      <c r="AD38" s="45"/>
      <c r="AE38" s="73">
        <f t="shared" si="17"/>
        <v>109061.66666666667</v>
      </c>
      <c r="AF38" s="56"/>
      <c r="AG38" s="73">
        <f t="shared" si="4"/>
        <v>109061.66666666667</v>
      </c>
      <c r="AI38" s="411">
        <v>12</v>
      </c>
      <c r="AJ38" s="74">
        <f t="shared" si="12"/>
        <v>336</v>
      </c>
      <c r="AK38" s="56"/>
      <c r="AL38" s="45">
        <f t="shared" si="15"/>
        <v>50000</v>
      </c>
      <c r="AM38" s="73"/>
      <c r="AN38" s="56"/>
      <c r="AO38" s="73">
        <f t="shared" si="5"/>
        <v>50000</v>
      </c>
      <c r="AQ38" s="411">
        <v>12</v>
      </c>
      <c r="AR38" s="74">
        <f t="shared" si="13"/>
        <v>336</v>
      </c>
      <c r="AS38" s="56"/>
      <c r="AT38" s="45">
        <f t="shared" si="16"/>
        <v>50000</v>
      </c>
      <c r="AU38" s="73"/>
      <c r="AV38" s="56"/>
      <c r="AW38" s="73">
        <f t="shared" si="6"/>
        <v>50000</v>
      </c>
    </row>
    <row r="39" spans="2:49" x14ac:dyDescent="0.45">
      <c r="B39" s="308">
        <v>13</v>
      </c>
      <c r="C39" s="74">
        <f t="shared" ca="1" si="7"/>
        <v>44426</v>
      </c>
      <c r="D39" s="56"/>
      <c r="E39" s="45"/>
      <c r="F39" s="45"/>
      <c r="G39" s="56"/>
      <c r="H39" s="73">
        <f t="shared" si="0"/>
        <v>0</v>
      </c>
      <c r="I39" s="289">
        <f t="shared" si="1"/>
        <v>0</v>
      </c>
      <c r="J39" s="289">
        <f t="shared" si="8"/>
        <v>7.6409370845240462E-3</v>
      </c>
      <c r="K39" s="308">
        <v>13</v>
      </c>
      <c r="L39" s="74">
        <f t="shared" ca="1" si="9"/>
        <v>44426</v>
      </c>
      <c r="M39" s="56"/>
      <c r="N39" s="56"/>
      <c r="O39" s="56"/>
      <c r="P39" s="56"/>
      <c r="Q39" s="73">
        <f t="shared" si="2"/>
        <v>0</v>
      </c>
      <c r="S39" s="308">
        <v>13</v>
      </c>
      <c r="T39" s="74">
        <f t="shared" ca="1" si="10"/>
        <v>44426</v>
      </c>
      <c r="U39" s="56"/>
      <c r="V39" s="56"/>
      <c r="W39" s="73">
        <f t="shared" si="14"/>
        <v>127238.61111111111</v>
      </c>
      <c r="X39" s="56"/>
      <c r="Y39" s="73">
        <f t="shared" si="3"/>
        <v>127238.61111111111</v>
      </c>
      <c r="AA39" s="308">
        <v>13</v>
      </c>
      <c r="AB39" s="74">
        <f t="shared" ca="1" si="11"/>
        <v>44426</v>
      </c>
      <c r="AC39" s="56"/>
      <c r="AD39" s="45"/>
      <c r="AE39" s="73">
        <f t="shared" si="17"/>
        <v>109061.66666666667</v>
      </c>
      <c r="AF39" s="56"/>
      <c r="AG39" s="73">
        <f>SUM(AC39+AD39+AE39-AF39)</f>
        <v>109061.66666666667</v>
      </c>
      <c r="AI39" s="411">
        <v>13</v>
      </c>
      <c r="AJ39" s="74">
        <f t="shared" si="12"/>
        <v>367</v>
      </c>
      <c r="AK39" s="56"/>
      <c r="AL39" s="45"/>
      <c r="AM39" s="73">
        <f>AK16*5%</f>
        <v>327185</v>
      </c>
      <c r="AN39" s="56"/>
      <c r="AO39" s="73">
        <f t="shared" si="5"/>
        <v>327185</v>
      </c>
      <c r="AQ39" s="411">
        <v>13</v>
      </c>
      <c r="AR39" s="74">
        <f t="shared" si="13"/>
        <v>367</v>
      </c>
      <c r="AS39" s="56"/>
      <c r="AT39" s="45"/>
      <c r="AU39" s="73">
        <f>AU33</f>
        <v>163592.5</v>
      </c>
      <c r="AV39" s="56"/>
      <c r="AW39" s="73">
        <f t="shared" si="6"/>
        <v>163592.5</v>
      </c>
    </row>
    <row r="40" spans="2:49" x14ac:dyDescent="0.45">
      <c r="B40" s="308">
        <v>14</v>
      </c>
      <c r="C40" s="74">
        <f t="shared" ca="1" si="7"/>
        <v>44457</v>
      </c>
      <c r="D40" s="56"/>
      <c r="E40" s="45"/>
      <c r="F40" s="45"/>
      <c r="G40" s="56"/>
      <c r="H40" s="73">
        <f t="shared" si="0"/>
        <v>0</v>
      </c>
      <c r="I40" s="289">
        <f t="shared" si="1"/>
        <v>0</v>
      </c>
      <c r="J40" s="289">
        <f t="shared" si="8"/>
        <v>7.6409370845240462E-3</v>
      </c>
      <c r="K40" s="308">
        <v>14</v>
      </c>
      <c r="L40" s="74">
        <f t="shared" ca="1" si="9"/>
        <v>44457</v>
      </c>
      <c r="M40" s="56"/>
      <c r="N40" s="56"/>
      <c r="O40" s="56"/>
      <c r="P40" s="56"/>
      <c r="Q40" s="73">
        <f t="shared" si="2"/>
        <v>0</v>
      </c>
      <c r="S40" s="308">
        <v>14</v>
      </c>
      <c r="T40" s="74">
        <f t="shared" ca="1" si="10"/>
        <v>44457</v>
      </c>
      <c r="U40" s="56"/>
      <c r="V40" s="56"/>
      <c r="W40" s="73">
        <f t="shared" si="14"/>
        <v>127238.61111111111</v>
      </c>
      <c r="X40" s="56"/>
      <c r="Y40" s="73">
        <f t="shared" si="3"/>
        <v>127238.61111111111</v>
      </c>
      <c r="AA40" s="308">
        <v>14</v>
      </c>
      <c r="AB40" s="74">
        <f t="shared" ca="1" si="11"/>
        <v>44457</v>
      </c>
      <c r="AC40" s="56"/>
      <c r="AD40" s="56"/>
      <c r="AE40" s="73">
        <f t="shared" si="17"/>
        <v>109061.66666666667</v>
      </c>
      <c r="AF40" s="56"/>
      <c r="AG40" s="73">
        <f>SUM(AC40+AD40+AE40-AF40)</f>
        <v>109061.66666666667</v>
      </c>
      <c r="AI40" s="411">
        <v>14</v>
      </c>
      <c r="AJ40" s="74">
        <f t="shared" si="12"/>
        <v>398</v>
      </c>
      <c r="AK40" s="56"/>
      <c r="AL40" s="45">
        <f>AL38</f>
        <v>50000</v>
      </c>
      <c r="AM40" s="73"/>
      <c r="AN40" s="56"/>
      <c r="AO40" s="73">
        <f t="shared" si="5"/>
        <v>50000</v>
      </c>
      <c r="AQ40" s="411">
        <v>14</v>
      </c>
      <c r="AR40" s="74">
        <f t="shared" si="13"/>
        <v>398</v>
      </c>
      <c r="AS40" s="56"/>
      <c r="AT40" s="45">
        <f>AT38</f>
        <v>50000</v>
      </c>
      <c r="AU40" s="73"/>
      <c r="AV40" s="56"/>
      <c r="AW40" s="73">
        <f t="shared" si="6"/>
        <v>50000</v>
      </c>
    </row>
    <row r="41" spans="2:49" x14ac:dyDescent="0.45">
      <c r="B41" s="308">
        <v>15</v>
      </c>
      <c r="C41" s="74">
        <f t="shared" ca="1" si="7"/>
        <v>44487</v>
      </c>
      <c r="D41" s="56"/>
      <c r="E41" s="45"/>
      <c r="F41" s="45"/>
      <c r="G41" s="45"/>
      <c r="H41" s="73">
        <f t="shared" si="0"/>
        <v>0</v>
      </c>
      <c r="I41" s="289">
        <f t="shared" si="1"/>
        <v>0</v>
      </c>
      <c r="J41" s="289">
        <f t="shared" si="8"/>
        <v>7.6409370845240462E-3</v>
      </c>
      <c r="K41" s="308">
        <v>15</v>
      </c>
      <c r="L41" s="74">
        <f t="shared" ca="1" si="9"/>
        <v>44487</v>
      </c>
      <c r="M41" s="56"/>
      <c r="N41" s="56"/>
      <c r="O41" s="56"/>
      <c r="P41" s="56"/>
      <c r="Q41" s="73">
        <f t="shared" si="2"/>
        <v>0</v>
      </c>
      <c r="S41" s="308">
        <v>15</v>
      </c>
      <c r="T41" s="74">
        <f t="shared" ca="1" si="10"/>
        <v>44487</v>
      </c>
      <c r="U41" s="56"/>
      <c r="V41" s="56"/>
      <c r="W41" s="73">
        <f t="shared" si="14"/>
        <v>127238.61111111111</v>
      </c>
      <c r="X41" s="56"/>
      <c r="Y41" s="73">
        <f t="shared" si="3"/>
        <v>127238.61111111111</v>
      </c>
      <c r="AA41" s="308">
        <v>15</v>
      </c>
      <c r="AB41" s="74">
        <f t="shared" ca="1" si="11"/>
        <v>44487</v>
      </c>
      <c r="AC41" s="56"/>
      <c r="AD41" s="56"/>
      <c r="AE41" s="73">
        <f t="shared" si="17"/>
        <v>109061.66666666667</v>
      </c>
      <c r="AF41" s="56"/>
      <c r="AG41" s="73">
        <f t="shared" si="4"/>
        <v>109061.66666666667</v>
      </c>
      <c r="AI41" s="411">
        <v>15</v>
      </c>
      <c r="AJ41" s="74">
        <f t="shared" si="12"/>
        <v>426</v>
      </c>
      <c r="AK41" s="56"/>
      <c r="AL41" s="45">
        <f t="shared" si="15"/>
        <v>50000</v>
      </c>
      <c r="AM41" s="73"/>
      <c r="AN41" s="56"/>
      <c r="AO41" s="73">
        <f t="shared" si="5"/>
        <v>50000</v>
      </c>
      <c r="AQ41" s="411">
        <v>15</v>
      </c>
      <c r="AR41" s="74">
        <f t="shared" si="13"/>
        <v>426</v>
      </c>
      <c r="AS41" s="56"/>
      <c r="AT41" s="45">
        <f t="shared" ref="AT41:AT50" si="18">AT40</f>
        <v>50000</v>
      </c>
      <c r="AU41" s="73"/>
      <c r="AV41" s="56"/>
      <c r="AW41" s="73">
        <f t="shared" si="6"/>
        <v>50000</v>
      </c>
    </row>
    <row r="42" spans="2:49" x14ac:dyDescent="0.45">
      <c r="B42" s="308">
        <v>16</v>
      </c>
      <c r="C42" s="74">
        <f t="shared" ca="1" si="7"/>
        <v>44518</v>
      </c>
      <c r="D42" s="56"/>
      <c r="E42" s="45"/>
      <c r="F42" s="45"/>
      <c r="G42" s="56"/>
      <c r="H42" s="73">
        <f t="shared" si="0"/>
        <v>0</v>
      </c>
      <c r="I42" s="289">
        <f t="shared" ref="I42:I72" si="19">H42/$D$16</f>
        <v>0</v>
      </c>
      <c r="J42" s="289">
        <f t="shared" ref="J42:J72" si="20">I42+J41</f>
        <v>7.6409370845240462E-3</v>
      </c>
      <c r="K42" s="308">
        <v>16</v>
      </c>
      <c r="L42" s="74">
        <f t="shared" ca="1" si="9"/>
        <v>44518</v>
      </c>
      <c r="M42" s="56"/>
      <c r="N42" s="56"/>
      <c r="O42" s="56"/>
      <c r="P42" s="56"/>
      <c r="Q42" s="73">
        <f t="shared" si="2"/>
        <v>0</v>
      </c>
      <c r="S42" s="308">
        <v>16</v>
      </c>
      <c r="T42" s="74">
        <f t="shared" ca="1" si="10"/>
        <v>44518</v>
      </c>
      <c r="U42" s="56"/>
      <c r="V42" s="56"/>
      <c r="W42" s="73">
        <f t="shared" si="14"/>
        <v>127238.61111111111</v>
      </c>
      <c r="X42" s="56"/>
      <c r="Y42" s="73">
        <f t="shared" si="3"/>
        <v>127238.61111111111</v>
      </c>
      <c r="AA42" s="308">
        <v>16</v>
      </c>
      <c r="AB42" s="74">
        <f t="shared" ca="1" si="11"/>
        <v>44518</v>
      </c>
      <c r="AC42" s="56"/>
      <c r="AD42" s="56"/>
      <c r="AE42" s="73">
        <f t="shared" si="17"/>
        <v>109061.66666666667</v>
      </c>
      <c r="AF42" s="56"/>
      <c r="AG42" s="73">
        <f t="shared" si="4"/>
        <v>109061.66666666667</v>
      </c>
      <c r="AI42" s="411">
        <v>16</v>
      </c>
      <c r="AJ42" s="74">
        <f t="shared" si="12"/>
        <v>457</v>
      </c>
      <c r="AK42" s="56"/>
      <c r="AL42" s="45">
        <f t="shared" si="15"/>
        <v>50000</v>
      </c>
      <c r="AM42" s="73"/>
      <c r="AN42" s="56"/>
      <c r="AO42" s="73">
        <f t="shared" si="5"/>
        <v>50000</v>
      </c>
      <c r="AQ42" s="411">
        <v>16</v>
      </c>
      <c r="AR42" s="74">
        <f t="shared" si="13"/>
        <v>457</v>
      </c>
      <c r="AS42" s="56"/>
      <c r="AT42" s="45">
        <f t="shared" si="18"/>
        <v>50000</v>
      </c>
      <c r="AU42" s="73"/>
      <c r="AV42" s="56"/>
      <c r="AW42" s="73">
        <f t="shared" si="6"/>
        <v>50000</v>
      </c>
    </row>
    <row r="43" spans="2:49" x14ac:dyDescent="0.45">
      <c r="B43" s="308">
        <v>17</v>
      </c>
      <c r="C43" s="74">
        <f t="shared" ca="1" si="7"/>
        <v>44548</v>
      </c>
      <c r="D43" s="56"/>
      <c r="E43" s="45"/>
      <c r="F43" s="45"/>
      <c r="G43" s="56"/>
      <c r="H43" s="73">
        <f t="shared" si="0"/>
        <v>0</v>
      </c>
      <c r="I43" s="289">
        <f t="shared" si="19"/>
        <v>0</v>
      </c>
      <c r="J43" s="289">
        <f t="shared" si="20"/>
        <v>7.6409370845240462E-3</v>
      </c>
      <c r="K43" s="308">
        <v>17</v>
      </c>
      <c r="L43" s="74">
        <f t="shared" ca="1" si="9"/>
        <v>44548</v>
      </c>
      <c r="M43" s="56"/>
      <c r="N43" s="56"/>
      <c r="O43" s="56"/>
      <c r="P43" s="56"/>
      <c r="Q43" s="73">
        <f t="shared" si="2"/>
        <v>0</v>
      </c>
      <c r="S43" s="308">
        <v>17</v>
      </c>
      <c r="T43" s="74">
        <f t="shared" ca="1" si="10"/>
        <v>44548</v>
      </c>
      <c r="U43" s="56"/>
      <c r="V43" s="56"/>
      <c r="W43" s="73">
        <f t="shared" si="14"/>
        <v>127238.61111111111</v>
      </c>
      <c r="X43" s="56"/>
      <c r="Y43" s="73">
        <f t="shared" si="3"/>
        <v>127238.61111111111</v>
      </c>
      <c r="AA43" s="308">
        <v>17</v>
      </c>
      <c r="AB43" s="74">
        <f t="shared" ca="1" si="11"/>
        <v>44548</v>
      </c>
      <c r="AC43" s="56"/>
      <c r="AD43" s="56"/>
      <c r="AE43" s="73">
        <f t="shared" si="17"/>
        <v>109061.66666666667</v>
      </c>
      <c r="AF43" s="56"/>
      <c r="AG43" s="73">
        <f t="shared" si="4"/>
        <v>109061.66666666667</v>
      </c>
      <c r="AI43" s="411">
        <v>17</v>
      </c>
      <c r="AJ43" s="74">
        <f t="shared" si="12"/>
        <v>487</v>
      </c>
      <c r="AK43" s="56"/>
      <c r="AL43" s="45">
        <f t="shared" si="15"/>
        <v>50000</v>
      </c>
      <c r="AM43" s="73"/>
      <c r="AN43" s="56"/>
      <c r="AO43" s="73">
        <f t="shared" si="5"/>
        <v>50000</v>
      </c>
      <c r="AQ43" s="411">
        <v>17</v>
      </c>
      <c r="AR43" s="74">
        <f t="shared" si="13"/>
        <v>487</v>
      </c>
      <c r="AS43" s="56"/>
      <c r="AT43" s="45">
        <f t="shared" si="18"/>
        <v>50000</v>
      </c>
      <c r="AU43" s="73"/>
      <c r="AV43" s="56"/>
      <c r="AW43" s="73">
        <f t="shared" si="6"/>
        <v>50000</v>
      </c>
    </row>
    <row r="44" spans="2:49" x14ac:dyDescent="0.45">
      <c r="B44" s="308">
        <v>18</v>
      </c>
      <c r="C44" s="74">
        <f t="shared" ca="1" si="7"/>
        <v>44579</v>
      </c>
      <c r="D44" s="56"/>
      <c r="E44" s="45"/>
      <c r="F44" s="45"/>
      <c r="G44" s="56"/>
      <c r="H44" s="73">
        <f t="shared" si="0"/>
        <v>0</v>
      </c>
      <c r="I44" s="289">
        <f t="shared" si="19"/>
        <v>0</v>
      </c>
      <c r="J44" s="289">
        <f t="shared" si="20"/>
        <v>7.6409370845240462E-3</v>
      </c>
      <c r="K44" s="308">
        <v>18</v>
      </c>
      <c r="L44" s="74">
        <f t="shared" ca="1" si="9"/>
        <v>44579</v>
      </c>
      <c r="M44" s="56"/>
      <c r="N44" s="56"/>
      <c r="O44" s="56"/>
      <c r="P44" s="56"/>
      <c r="Q44" s="73">
        <f t="shared" si="2"/>
        <v>0</v>
      </c>
      <c r="S44" s="308">
        <v>18</v>
      </c>
      <c r="T44" s="74">
        <f t="shared" ca="1" si="10"/>
        <v>44579</v>
      </c>
      <c r="U44" s="56"/>
      <c r="V44" s="56"/>
      <c r="W44" s="73">
        <f t="shared" si="14"/>
        <v>127238.61111111111</v>
      </c>
      <c r="X44" s="56"/>
      <c r="Y44" s="73">
        <f t="shared" si="3"/>
        <v>127238.61111111111</v>
      </c>
      <c r="AA44" s="308">
        <v>18</v>
      </c>
      <c r="AB44" s="74">
        <f t="shared" ca="1" si="11"/>
        <v>44579</v>
      </c>
      <c r="AC44" s="56"/>
      <c r="AD44" s="56"/>
      <c r="AE44" s="73">
        <f t="shared" si="17"/>
        <v>109061.66666666667</v>
      </c>
      <c r="AF44" s="56"/>
      <c r="AG44" s="73">
        <f t="shared" si="4"/>
        <v>109061.66666666667</v>
      </c>
      <c r="AI44" s="411">
        <v>18</v>
      </c>
      <c r="AJ44" s="74">
        <f t="shared" si="12"/>
        <v>518</v>
      </c>
      <c r="AK44" s="56"/>
      <c r="AL44" s="45">
        <f t="shared" si="15"/>
        <v>50000</v>
      </c>
      <c r="AM44" s="73"/>
      <c r="AN44" s="56"/>
      <c r="AO44" s="73">
        <f t="shared" si="5"/>
        <v>50000</v>
      </c>
      <c r="AQ44" s="411">
        <v>18</v>
      </c>
      <c r="AR44" s="74">
        <f t="shared" si="13"/>
        <v>518</v>
      </c>
      <c r="AS44" s="56"/>
      <c r="AT44" s="45">
        <f t="shared" si="18"/>
        <v>50000</v>
      </c>
      <c r="AU44" s="73"/>
      <c r="AV44" s="56"/>
      <c r="AW44" s="73">
        <f t="shared" si="6"/>
        <v>50000</v>
      </c>
    </row>
    <row r="45" spans="2:49" x14ac:dyDescent="0.45">
      <c r="B45" s="308">
        <v>19</v>
      </c>
      <c r="C45" s="74">
        <f t="shared" ca="1" si="7"/>
        <v>44610</v>
      </c>
      <c r="D45" s="56"/>
      <c r="E45" s="45"/>
      <c r="F45" s="45"/>
      <c r="G45" s="56"/>
      <c r="H45" s="73">
        <f t="shared" si="0"/>
        <v>0</v>
      </c>
      <c r="I45" s="289">
        <f t="shared" si="19"/>
        <v>0</v>
      </c>
      <c r="J45" s="289">
        <f t="shared" si="20"/>
        <v>7.6409370845240462E-3</v>
      </c>
      <c r="K45" s="308">
        <v>19</v>
      </c>
      <c r="L45" s="74">
        <f t="shared" ca="1" si="9"/>
        <v>44610</v>
      </c>
      <c r="M45" s="56"/>
      <c r="N45" s="56"/>
      <c r="O45" s="56"/>
      <c r="P45" s="56"/>
      <c r="Q45" s="73">
        <f t="shared" si="2"/>
        <v>0</v>
      </c>
      <c r="S45" s="308">
        <v>19</v>
      </c>
      <c r="T45" s="74">
        <f t="shared" ca="1" si="10"/>
        <v>44610</v>
      </c>
      <c r="U45" s="56"/>
      <c r="V45" s="56"/>
      <c r="W45" s="73">
        <f t="shared" si="14"/>
        <v>127238.61111111111</v>
      </c>
      <c r="X45" s="56"/>
      <c r="Y45" s="73">
        <f t="shared" si="3"/>
        <v>127238.61111111111</v>
      </c>
      <c r="AA45" s="308">
        <v>19</v>
      </c>
      <c r="AB45" s="74">
        <f t="shared" ca="1" si="11"/>
        <v>44610</v>
      </c>
      <c r="AC45" s="56"/>
      <c r="AD45" s="56"/>
      <c r="AE45" s="73">
        <f t="shared" si="17"/>
        <v>109061.66666666667</v>
      </c>
      <c r="AF45" s="56"/>
      <c r="AG45" s="73">
        <f t="shared" si="4"/>
        <v>109061.66666666667</v>
      </c>
      <c r="AI45" s="411">
        <v>19</v>
      </c>
      <c r="AJ45" s="74">
        <f t="shared" si="12"/>
        <v>548</v>
      </c>
      <c r="AK45" s="56"/>
      <c r="AL45" s="45">
        <f t="shared" si="15"/>
        <v>50000</v>
      </c>
      <c r="AM45" s="73"/>
      <c r="AN45" s="56"/>
      <c r="AO45" s="73">
        <f t="shared" si="5"/>
        <v>50000</v>
      </c>
      <c r="AQ45" s="411">
        <v>19</v>
      </c>
      <c r="AR45" s="74">
        <f t="shared" si="13"/>
        <v>548</v>
      </c>
      <c r="AS45" s="56"/>
      <c r="AT45" s="45"/>
      <c r="AU45" s="73">
        <f>AU39</f>
        <v>163592.5</v>
      </c>
      <c r="AV45" s="56"/>
      <c r="AW45" s="73">
        <f t="shared" si="6"/>
        <v>163592.5</v>
      </c>
    </row>
    <row r="46" spans="2:49" x14ac:dyDescent="0.45">
      <c r="B46" s="308">
        <v>20</v>
      </c>
      <c r="C46" s="74">
        <f t="shared" ca="1" si="7"/>
        <v>44638</v>
      </c>
      <c r="D46" s="45"/>
      <c r="E46" s="45"/>
      <c r="F46" s="45"/>
      <c r="G46" s="56"/>
      <c r="H46" s="73">
        <f t="shared" si="0"/>
        <v>0</v>
      </c>
      <c r="I46" s="289">
        <f t="shared" si="19"/>
        <v>0</v>
      </c>
      <c r="J46" s="289">
        <f t="shared" si="20"/>
        <v>7.6409370845240462E-3</v>
      </c>
      <c r="K46" s="308">
        <v>20</v>
      </c>
      <c r="L46" s="74">
        <f t="shared" ca="1" si="9"/>
        <v>44638</v>
      </c>
      <c r="M46" s="56"/>
      <c r="N46" s="56"/>
      <c r="O46" s="56"/>
      <c r="P46" s="56"/>
      <c r="Q46" s="73">
        <f t="shared" si="2"/>
        <v>0</v>
      </c>
      <c r="S46" s="308">
        <v>20</v>
      </c>
      <c r="T46" s="74">
        <f t="shared" ca="1" si="10"/>
        <v>44638</v>
      </c>
      <c r="U46" s="56"/>
      <c r="V46" s="56"/>
      <c r="W46" s="73">
        <f t="shared" si="14"/>
        <v>127238.61111111111</v>
      </c>
      <c r="X46" s="56"/>
      <c r="Y46" s="73">
        <f t="shared" si="3"/>
        <v>127238.61111111111</v>
      </c>
      <c r="AA46" s="308">
        <v>20</v>
      </c>
      <c r="AB46" s="74">
        <f t="shared" ca="1" si="11"/>
        <v>44638</v>
      </c>
      <c r="AC46" s="56"/>
      <c r="AD46" s="56"/>
      <c r="AE46" s="73">
        <f t="shared" si="17"/>
        <v>109061.66666666667</v>
      </c>
      <c r="AF46" s="56"/>
      <c r="AG46" s="73">
        <f>SUM(AC46+AD46+AE46-AF46)</f>
        <v>109061.66666666667</v>
      </c>
      <c r="AI46" s="411">
        <v>20</v>
      </c>
      <c r="AJ46" s="74">
        <f t="shared" si="12"/>
        <v>579</v>
      </c>
      <c r="AK46" s="56"/>
      <c r="AL46" s="45">
        <f t="shared" si="15"/>
        <v>50000</v>
      </c>
      <c r="AM46" s="73"/>
      <c r="AN46" s="56"/>
      <c r="AO46" s="73">
        <f t="shared" si="5"/>
        <v>50000</v>
      </c>
      <c r="AQ46" s="411">
        <v>20</v>
      </c>
      <c r="AR46" s="74">
        <f t="shared" si="13"/>
        <v>579</v>
      </c>
      <c r="AS46" s="56"/>
      <c r="AT46" s="45">
        <f>AT44</f>
        <v>50000</v>
      </c>
      <c r="AU46" s="73"/>
      <c r="AV46" s="56"/>
      <c r="AW46" s="73">
        <f t="shared" si="6"/>
        <v>50000</v>
      </c>
    </row>
    <row r="47" spans="2:49" x14ac:dyDescent="0.45">
      <c r="B47" s="308">
        <v>21</v>
      </c>
      <c r="C47" s="74">
        <f t="shared" ca="1" si="7"/>
        <v>44669</v>
      </c>
      <c r="D47" s="56"/>
      <c r="E47" s="45"/>
      <c r="F47" s="45"/>
      <c r="G47" s="56"/>
      <c r="H47" s="73">
        <f t="shared" si="0"/>
        <v>0</v>
      </c>
      <c r="I47" s="289">
        <f t="shared" si="19"/>
        <v>0</v>
      </c>
      <c r="J47" s="289">
        <f t="shared" si="20"/>
        <v>7.6409370845240462E-3</v>
      </c>
      <c r="K47" s="308">
        <v>21</v>
      </c>
      <c r="L47" s="74">
        <f t="shared" ca="1" si="9"/>
        <v>44669</v>
      </c>
      <c r="M47" s="56"/>
      <c r="N47" s="56"/>
      <c r="O47" s="56"/>
      <c r="P47" s="56"/>
      <c r="Q47" s="73">
        <f t="shared" si="2"/>
        <v>0</v>
      </c>
      <c r="S47" s="308">
        <v>21</v>
      </c>
      <c r="T47" s="74">
        <f t="shared" ca="1" si="10"/>
        <v>44669</v>
      </c>
      <c r="U47" s="56"/>
      <c r="V47" s="56"/>
      <c r="W47" s="73">
        <f t="shared" si="14"/>
        <v>127238.61111111111</v>
      </c>
      <c r="X47" s="56"/>
      <c r="Y47" s="73">
        <f t="shared" si="3"/>
        <v>127238.61111111111</v>
      </c>
      <c r="AA47" s="308">
        <v>21</v>
      </c>
      <c r="AB47" s="74">
        <f t="shared" ca="1" si="11"/>
        <v>44669</v>
      </c>
      <c r="AC47" s="56"/>
      <c r="AD47" s="73"/>
      <c r="AE47" s="73">
        <f t="shared" si="17"/>
        <v>109061.66666666667</v>
      </c>
      <c r="AF47" s="45"/>
      <c r="AG47" s="73">
        <f>AC47+AD47+AE47+AF47</f>
        <v>109061.66666666667</v>
      </c>
      <c r="AI47" s="411">
        <v>21</v>
      </c>
      <c r="AJ47" s="74">
        <f t="shared" si="12"/>
        <v>610</v>
      </c>
      <c r="AK47" s="56"/>
      <c r="AL47" s="45">
        <f t="shared" si="15"/>
        <v>50000</v>
      </c>
      <c r="AM47" s="73"/>
      <c r="AN47" s="45"/>
      <c r="AO47" s="73">
        <f t="shared" si="5"/>
        <v>50000</v>
      </c>
      <c r="AQ47" s="411">
        <v>21</v>
      </c>
      <c r="AR47" s="74">
        <f t="shared" si="13"/>
        <v>610</v>
      </c>
      <c r="AS47" s="56"/>
      <c r="AT47" s="45">
        <f t="shared" si="18"/>
        <v>50000</v>
      </c>
      <c r="AU47" s="73"/>
      <c r="AV47" s="45"/>
      <c r="AW47" s="73">
        <f t="shared" si="6"/>
        <v>50000</v>
      </c>
    </row>
    <row r="48" spans="2:49" x14ac:dyDescent="0.45">
      <c r="B48" s="308">
        <v>22</v>
      </c>
      <c r="C48" s="74">
        <f t="shared" ca="1" si="7"/>
        <v>44699</v>
      </c>
      <c r="D48" s="56"/>
      <c r="E48" s="45"/>
      <c r="F48" s="45"/>
      <c r="G48" s="56"/>
      <c r="H48" s="73">
        <f t="shared" si="0"/>
        <v>0</v>
      </c>
      <c r="I48" s="289">
        <f t="shared" si="19"/>
        <v>0</v>
      </c>
      <c r="J48" s="289">
        <f t="shared" si="20"/>
        <v>7.6409370845240462E-3</v>
      </c>
      <c r="K48" s="308">
        <v>22</v>
      </c>
      <c r="L48" s="74">
        <f t="shared" ca="1" si="9"/>
        <v>44699</v>
      </c>
      <c r="M48" s="56"/>
      <c r="N48" s="56"/>
      <c r="O48" s="56"/>
      <c r="P48" s="56"/>
      <c r="Q48" s="73">
        <f t="shared" si="2"/>
        <v>0</v>
      </c>
      <c r="S48" s="308">
        <v>22</v>
      </c>
      <c r="T48" s="74">
        <f t="shared" ca="1" si="10"/>
        <v>44699</v>
      </c>
      <c r="U48" s="56"/>
      <c r="V48" s="56"/>
      <c r="W48" s="73">
        <f t="shared" si="14"/>
        <v>127238.61111111111</v>
      </c>
      <c r="X48" s="56"/>
      <c r="Y48" s="73">
        <f t="shared" si="3"/>
        <v>127238.61111111111</v>
      </c>
      <c r="AA48" s="308">
        <v>22</v>
      </c>
      <c r="AB48" s="74">
        <f t="shared" ca="1" si="11"/>
        <v>44699</v>
      </c>
      <c r="AC48" s="56"/>
      <c r="AD48" s="56"/>
      <c r="AE48" s="73">
        <f t="shared" si="17"/>
        <v>109061.66666666667</v>
      </c>
      <c r="AF48" s="56"/>
      <c r="AG48" s="73">
        <f t="shared" si="4"/>
        <v>109061.66666666667</v>
      </c>
      <c r="AI48" s="411">
        <v>22</v>
      </c>
      <c r="AJ48" s="74">
        <f t="shared" si="12"/>
        <v>640</v>
      </c>
      <c r="AK48" s="56"/>
      <c r="AL48" s="45">
        <f t="shared" si="15"/>
        <v>50000</v>
      </c>
      <c r="AM48" s="73"/>
      <c r="AN48" s="56"/>
      <c r="AO48" s="73">
        <f t="shared" si="5"/>
        <v>50000</v>
      </c>
      <c r="AQ48" s="411">
        <v>22</v>
      </c>
      <c r="AR48" s="74">
        <f t="shared" si="13"/>
        <v>640</v>
      </c>
      <c r="AS48" s="56"/>
      <c r="AT48" s="45">
        <f t="shared" si="18"/>
        <v>50000</v>
      </c>
      <c r="AU48" s="73"/>
      <c r="AV48" s="56"/>
      <c r="AW48" s="73">
        <f t="shared" si="6"/>
        <v>50000</v>
      </c>
    </row>
    <row r="49" spans="2:49" x14ac:dyDescent="0.45">
      <c r="B49" s="308">
        <v>23</v>
      </c>
      <c r="C49" s="74">
        <f t="shared" ca="1" si="7"/>
        <v>44730</v>
      </c>
      <c r="D49" s="56"/>
      <c r="E49" s="45"/>
      <c r="F49" s="45"/>
      <c r="G49" s="56"/>
      <c r="H49" s="73">
        <f t="shared" si="0"/>
        <v>0</v>
      </c>
      <c r="I49" s="289">
        <f t="shared" si="19"/>
        <v>0</v>
      </c>
      <c r="J49" s="289">
        <f t="shared" si="20"/>
        <v>7.6409370845240462E-3</v>
      </c>
      <c r="K49" s="308">
        <v>23</v>
      </c>
      <c r="L49" s="74">
        <f t="shared" ca="1" si="9"/>
        <v>44730</v>
      </c>
      <c r="M49" s="56"/>
      <c r="N49" s="56"/>
      <c r="O49" s="56"/>
      <c r="P49" s="56"/>
      <c r="Q49" s="73">
        <f t="shared" si="2"/>
        <v>0</v>
      </c>
      <c r="S49" s="308">
        <v>23</v>
      </c>
      <c r="T49" s="74">
        <f t="shared" ca="1" si="10"/>
        <v>44730</v>
      </c>
      <c r="U49" s="56"/>
      <c r="V49" s="56"/>
      <c r="W49" s="73">
        <f t="shared" si="14"/>
        <v>127238.61111111111</v>
      </c>
      <c r="X49" s="56"/>
      <c r="Y49" s="73">
        <f t="shared" si="3"/>
        <v>127238.61111111111</v>
      </c>
      <c r="AA49" s="308">
        <v>23</v>
      </c>
      <c r="AB49" s="74">
        <f t="shared" ca="1" si="11"/>
        <v>44730</v>
      </c>
      <c r="AC49" s="56"/>
      <c r="AD49" s="56"/>
      <c r="AE49" s="73">
        <f t="shared" si="17"/>
        <v>109061.66666666667</v>
      </c>
      <c r="AF49" s="56"/>
      <c r="AG49" s="73">
        <f t="shared" si="4"/>
        <v>109061.66666666667</v>
      </c>
      <c r="AI49" s="411">
        <v>23</v>
      </c>
      <c r="AJ49" s="74">
        <f t="shared" si="12"/>
        <v>671</v>
      </c>
      <c r="AK49" s="56"/>
      <c r="AL49" s="45">
        <f t="shared" si="15"/>
        <v>50000</v>
      </c>
      <c r="AM49" s="73"/>
      <c r="AN49" s="56"/>
      <c r="AO49" s="73">
        <f t="shared" si="5"/>
        <v>50000</v>
      </c>
      <c r="AQ49" s="411">
        <v>23</v>
      </c>
      <c r="AR49" s="74">
        <f t="shared" si="13"/>
        <v>671</v>
      </c>
      <c r="AS49" s="56"/>
      <c r="AT49" s="45">
        <f t="shared" si="18"/>
        <v>50000</v>
      </c>
      <c r="AU49" s="73"/>
      <c r="AV49" s="56"/>
      <c r="AW49" s="73">
        <f t="shared" si="6"/>
        <v>50000</v>
      </c>
    </row>
    <row r="50" spans="2:49" x14ac:dyDescent="0.45">
      <c r="B50" s="308">
        <v>24</v>
      </c>
      <c r="C50" s="74">
        <f t="shared" ca="1" si="7"/>
        <v>44760</v>
      </c>
      <c r="D50" s="56"/>
      <c r="E50" s="45"/>
      <c r="F50" s="45"/>
      <c r="G50" s="56"/>
      <c r="H50" s="73">
        <f t="shared" si="0"/>
        <v>0</v>
      </c>
      <c r="I50" s="289">
        <f t="shared" si="19"/>
        <v>0</v>
      </c>
      <c r="J50" s="289">
        <f t="shared" si="20"/>
        <v>7.6409370845240462E-3</v>
      </c>
      <c r="K50" s="308">
        <v>24</v>
      </c>
      <c r="L50" s="74">
        <f t="shared" ca="1" si="9"/>
        <v>44760</v>
      </c>
      <c r="M50" s="56"/>
      <c r="N50" s="56"/>
      <c r="O50" s="56"/>
      <c r="P50" s="56"/>
      <c r="Q50" s="73">
        <f t="shared" si="2"/>
        <v>0</v>
      </c>
      <c r="S50" s="308">
        <v>24</v>
      </c>
      <c r="T50" s="74">
        <f t="shared" ca="1" si="10"/>
        <v>44760</v>
      </c>
      <c r="U50" s="56"/>
      <c r="V50" s="56"/>
      <c r="W50" s="73">
        <f t="shared" si="14"/>
        <v>127238.61111111111</v>
      </c>
      <c r="X50" s="56"/>
      <c r="Y50" s="73">
        <f t="shared" si="3"/>
        <v>127238.61111111111</v>
      </c>
      <c r="AA50" s="308">
        <v>24</v>
      </c>
      <c r="AB50" s="74">
        <f t="shared" ca="1" si="11"/>
        <v>44760</v>
      </c>
      <c r="AC50" s="56"/>
      <c r="AD50" s="56"/>
      <c r="AE50" s="73">
        <f t="shared" si="17"/>
        <v>109061.66666666667</v>
      </c>
      <c r="AF50" s="56"/>
      <c r="AG50" s="73">
        <f t="shared" si="4"/>
        <v>109061.66666666667</v>
      </c>
      <c r="AI50" s="411">
        <v>24</v>
      </c>
      <c r="AJ50" s="74">
        <f t="shared" si="12"/>
        <v>701</v>
      </c>
      <c r="AK50" s="56"/>
      <c r="AL50" s="45">
        <f t="shared" si="15"/>
        <v>50000</v>
      </c>
      <c r="AM50" s="73"/>
      <c r="AN50" s="56"/>
      <c r="AO50" s="73">
        <f t="shared" si="5"/>
        <v>50000</v>
      </c>
      <c r="AQ50" s="411">
        <v>24</v>
      </c>
      <c r="AR50" s="74">
        <f t="shared" si="13"/>
        <v>701</v>
      </c>
      <c r="AS50" s="56"/>
      <c r="AT50" s="45">
        <f t="shared" si="18"/>
        <v>50000</v>
      </c>
      <c r="AU50" s="73"/>
      <c r="AV50" s="56"/>
      <c r="AW50" s="73">
        <f t="shared" si="6"/>
        <v>50000</v>
      </c>
    </row>
    <row r="51" spans="2:49" x14ac:dyDescent="0.45">
      <c r="B51" s="308">
        <v>25</v>
      </c>
      <c r="C51" s="74">
        <f t="shared" ca="1" si="7"/>
        <v>44791</v>
      </c>
      <c r="D51" s="56"/>
      <c r="E51" s="45"/>
      <c r="F51" s="45"/>
      <c r="G51" s="56"/>
      <c r="H51" s="73">
        <f t="shared" si="0"/>
        <v>0</v>
      </c>
      <c r="I51" s="289">
        <f t="shared" si="19"/>
        <v>0</v>
      </c>
      <c r="J51" s="289">
        <f t="shared" si="20"/>
        <v>7.6409370845240462E-3</v>
      </c>
      <c r="K51" s="308">
        <v>25</v>
      </c>
      <c r="L51" s="74">
        <f t="shared" ca="1" si="9"/>
        <v>44791</v>
      </c>
      <c r="M51" s="56"/>
      <c r="N51" s="56"/>
      <c r="O51" s="56"/>
      <c r="P51" s="56"/>
      <c r="Q51" s="73">
        <f t="shared" si="2"/>
        <v>0</v>
      </c>
      <c r="S51" s="308">
        <v>25</v>
      </c>
      <c r="T51" s="74">
        <f t="shared" ca="1" si="10"/>
        <v>44791</v>
      </c>
      <c r="U51" s="56"/>
      <c r="V51" s="56"/>
      <c r="W51" s="73">
        <f t="shared" si="14"/>
        <v>127238.61111111111</v>
      </c>
      <c r="X51" s="56"/>
      <c r="Y51" s="73">
        <f t="shared" si="3"/>
        <v>127238.61111111111</v>
      </c>
      <c r="AA51" s="308">
        <v>25</v>
      </c>
      <c r="AB51" s="74">
        <f t="shared" ca="1" si="11"/>
        <v>44791</v>
      </c>
      <c r="AC51" s="56"/>
      <c r="AD51" s="56"/>
      <c r="AE51" s="73">
        <f t="shared" si="17"/>
        <v>109061.66666666667</v>
      </c>
      <c r="AF51" s="56"/>
      <c r="AG51" s="73">
        <f t="shared" si="4"/>
        <v>109061.66666666667</v>
      </c>
      <c r="AI51" s="411">
        <v>25</v>
      </c>
      <c r="AJ51" s="74">
        <f t="shared" si="12"/>
        <v>732</v>
      </c>
      <c r="AK51" s="56"/>
      <c r="AL51" s="56"/>
      <c r="AM51" s="73"/>
      <c r="AN51" s="45">
        <f>AK16-SUM(AK27:AM50)</f>
        <v>5066515</v>
      </c>
      <c r="AO51" s="73">
        <f t="shared" si="5"/>
        <v>5066515</v>
      </c>
      <c r="AQ51" s="411">
        <v>25</v>
      </c>
      <c r="AR51" s="74">
        <f t="shared" si="13"/>
        <v>732</v>
      </c>
      <c r="AS51" s="56"/>
      <c r="AT51" s="56"/>
      <c r="AU51" s="73"/>
      <c r="AV51" s="45">
        <f>AS16-SUM(AS27:AU50)</f>
        <v>5002922.5</v>
      </c>
      <c r="AW51" s="73">
        <f t="shared" si="6"/>
        <v>5002922.5</v>
      </c>
    </row>
    <row r="52" spans="2:49" x14ac:dyDescent="0.45">
      <c r="B52" s="308">
        <v>26</v>
      </c>
      <c r="C52" s="74">
        <f t="shared" ca="1" si="7"/>
        <v>44822</v>
      </c>
      <c r="D52" s="45"/>
      <c r="E52" s="45"/>
      <c r="F52" s="45"/>
      <c r="G52" s="56"/>
      <c r="H52" s="73">
        <f t="shared" si="0"/>
        <v>0</v>
      </c>
      <c r="I52" s="289">
        <f t="shared" si="19"/>
        <v>0</v>
      </c>
      <c r="J52" s="289">
        <f t="shared" si="20"/>
        <v>7.6409370845240462E-3</v>
      </c>
      <c r="K52" s="308">
        <v>26</v>
      </c>
      <c r="L52" s="74">
        <f t="shared" ca="1" si="9"/>
        <v>44822</v>
      </c>
      <c r="M52" s="56"/>
      <c r="N52" s="56"/>
      <c r="O52" s="56"/>
      <c r="P52" s="56"/>
      <c r="Q52" s="73">
        <f t="shared" si="2"/>
        <v>0</v>
      </c>
      <c r="S52" s="308">
        <v>26</v>
      </c>
      <c r="T52" s="74">
        <f t="shared" ca="1" si="10"/>
        <v>44822</v>
      </c>
      <c r="U52" s="56"/>
      <c r="V52" s="56"/>
      <c r="W52" s="73">
        <f t="shared" si="14"/>
        <v>127238.61111111111</v>
      </c>
      <c r="X52" s="56"/>
      <c r="Y52" s="73">
        <f t="shared" si="3"/>
        <v>127238.61111111111</v>
      </c>
      <c r="AA52" s="308">
        <v>26</v>
      </c>
      <c r="AB52" s="74">
        <f t="shared" ca="1" si="11"/>
        <v>44822</v>
      </c>
      <c r="AC52" s="56"/>
      <c r="AD52" s="56"/>
      <c r="AE52" s="73">
        <f t="shared" si="17"/>
        <v>109061.66666666667</v>
      </c>
      <c r="AF52" s="56"/>
      <c r="AG52" s="73">
        <f t="shared" si="4"/>
        <v>109061.66666666667</v>
      </c>
      <c r="AI52" s="411">
        <v>26</v>
      </c>
      <c r="AJ52" s="74">
        <f t="shared" si="12"/>
        <v>763</v>
      </c>
      <c r="AK52" s="56"/>
      <c r="AL52" s="56"/>
      <c r="AM52" s="73"/>
      <c r="AN52" s="56"/>
      <c r="AO52" s="73">
        <f t="shared" si="5"/>
        <v>0</v>
      </c>
      <c r="AQ52" s="411">
        <v>26</v>
      </c>
      <c r="AR52" s="74">
        <f t="shared" si="13"/>
        <v>763</v>
      </c>
      <c r="AS52" s="56"/>
      <c r="AT52" s="56"/>
      <c r="AU52" s="73"/>
      <c r="AV52" s="56"/>
      <c r="AW52" s="73">
        <f t="shared" si="6"/>
        <v>0</v>
      </c>
    </row>
    <row r="53" spans="2:49" x14ac:dyDescent="0.45">
      <c r="B53" s="308">
        <v>27</v>
      </c>
      <c r="C53" s="74">
        <f t="shared" ca="1" si="7"/>
        <v>44852</v>
      </c>
      <c r="D53" s="56"/>
      <c r="E53" s="45"/>
      <c r="F53" s="45"/>
      <c r="G53" s="45"/>
      <c r="H53" s="73">
        <f t="shared" si="0"/>
        <v>0</v>
      </c>
      <c r="I53" s="289">
        <f t="shared" si="19"/>
        <v>0</v>
      </c>
      <c r="J53" s="289">
        <f t="shared" si="20"/>
        <v>7.6409370845240462E-3</v>
      </c>
      <c r="K53" s="308">
        <v>27</v>
      </c>
      <c r="L53" s="74">
        <f t="shared" ca="1" si="9"/>
        <v>44852</v>
      </c>
      <c r="M53" s="56"/>
      <c r="N53" s="56"/>
      <c r="O53" s="56"/>
      <c r="P53" s="56"/>
      <c r="Q53" s="73">
        <f t="shared" si="2"/>
        <v>0</v>
      </c>
      <c r="S53" s="308">
        <v>27</v>
      </c>
      <c r="T53" s="74">
        <f t="shared" ca="1" si="10"/>
        <v>44852</v>
      </c>
      <c r="U53" s="56"/>
      <c r="V53" s="56"/>
      <c r="W53" s="73">
        <f t="shared" si="14"/>
        <v>127238.61111111111</v>
      </c>
      <c r="X53" s="56"/>
      <c r="Y53" s="73">
        <f t="shared" si="3"/>
        <v>127238.61111111111</v>
      </c>
      <c r="AA53" s="308">
        <v>27</v>
      </c>
      <c r="AB53" s="74">
        <f t="shared" ca="1" si="11"/>
        <v>44852</v>
      </c>
      <c r="AC53" s="56"/>
      <c r="AD53" s="56"/>
      <c r="AE53" s="45">
        <f>AC16-SUM(AC27:AE52)</f>
        <v>3271850.0000000009</v>
      </c>
      <c r="AF53" s="56"/>
      <c r="AG53" s="73">
        <f>SUM(AC53+AD53+AE53+AF53)</f>
        <v>3271850.0000000009</v>
      </c>
      <c r="AI53" s="411">
        <v>27</v>
      </c>
      <c r="AJ53" s="74">
        <f t="shared" si="12"/>
        <v>791</v>
      </c>
      <c r="AK53" s="56"/>
      <c r="AL53" s="56"/>
      <c r="AM53" s="45"/>
      <c r="AN53" s="45"/>
      <c r="AO53" s="73">
        <f t="shared" si="5"/>
        <v>0</v>
      </c>
      <c r="AQ53" s="411">
        <v>27</v>
      </c>
      <c r="AR53" s="74">
        <f t="shared" si="13"/>
        <v>791</v>
      </c>
      <c r="AS53" s="56"/>
      <c r="AT53" s="56"/>
      <c r="AU53" s="73"/>
      <c r="AV53" s="45"/>
      <c r="AW53" s="73">
        <f t="shared" si="6"/>
        <v>0</v>
      </c>
    </row>
    <row r="54" spans="2:49" x14ac:dyDescent="0.45">
      <c r="B54" s="308">
        <v>28</v>
      </c>
      <c r="C54" s="74">
        <f t="shared" ca="1" si="7"/>
        <v>44883</v>
      </c>
      <c r="D54" s="56"/>
      <c r="E54" s="45"/>
      <c r="F54" s="45"/>
      <c r="G54" s="56"/>
      <c r="H54" s="73">
        <f t="shared" si="0"/>
        <v>0</v>
      </c>
      <c r="I54" s="289">
        <f t="shared" si="19"/>
        <v>0</v>
      </c>
      <c r="J54" s="289">
        <f t="shared" si="20"/>
        <v>7.6409370845240462E-3</v>
      </c>
      <c r="K54" s="308">
        <v>28</v>
      </c>
      <c r="L54" s="74">
        <f t="shared" ca="1" si="9"/>
        <v>44883</v>
      </c>
      <c r="M54" s="56"/>
      <c r="N54" s="56"/>
      <c r="O54" s="56"/>
      <c r="P54" s="56"/>
      <c r="Q54" s="73">
        <f t="shared" si="2"/>
        <v>0</v>
      </c>
      <c r="S54" s="308">
        <v>28</v>
      </c>
      <c r="T54" s="74">
        <f t="shared" ca="1" si="10"/>
        <v>44883</v>
      </c>
      <c r="U54" s="56"/>
      <c r="V54" s="56"/>
      <c r="W54" s="73">
        <f t="shared" si="14"/>
        <v>127238.61111111111</v>
      </c>
      <c r="X54" s="56"/>
      <c r="Y54" s="73">
        <f t="shared" si="3"/>
        <v>127238.61111111111</v>
      </c>
      <c r="AA54" s="308">
        <v>28</v>
      </c>
      <c r="AB54" s="74">
        <f t="shared" ca="1" si="11"/>
        <v>44883</v>
      </c>
      <c r="AC54" s="56"/>
      <c r="AD54" s="56"/>
      <c r="AE54" s="56"/>
      <c r="AF54" s="56"/>
      <c r="AG54" s="73">
        <f t="shared" si="4"/>
        <v>0</v>
      </c>
      <c r="AI54" s="411">
        <v>28</v>
      </c>
      <c r="AJ54" s="74">
        <f t="shared" si="12"/>
        <v>822</v>
      </c>
      <c r="AK54" s="56"/>
      <c r="AL54" s="56"/>
      <c r="AM54" s="56"/>
      <c r="AN54" s="56"/>
      <c r="AO54" s="73">
        <f t="shared" si="5"/>
        <v>0</v>
      </c>
      <c r="AQ54" s="411">
        <v>28</v>
      </c>
      <c r="AR54" s="74">
        <f t="shared" si="13"/>
        <v>822</v>
      </c>
      <c r="AS54" s="56"/>
      <c r="AT54" s="56"/>
      <c r="AU54" s="73"/>
      <c r="AV54" s="56"/>
      <c r="AW54" s="73">
        <f t="shared" si="6"/>
        <v>0</v>
      </c>
    </row>
    <row r="55" spans="2:49" x14ac:dyDescent="0.45">
      <c r="B55" s="308">
        <v>29</v>
      </c>
      <c r="C55" s="74">
        <f t="shared" ca="1" si="7"/>
        <v>44913</v>
      </c>
      <c r="D55" s="56"/>
      <c r="E55" s="45"/>
      <c r="F55" s="45"/>
      <c r="G55" s="56"/>
      <c r="H55" s="73">
        <f t="shared" si="0"/>
        <v>0</v>
      </c>
      <c r="I55" s="289">
        <f t="shared" si="19"/>
        <v>0</v>
      </c>
      <c r="J55" s="289">
        <f t="shared" si="20"/>
        <v>7.6409370845240462E-3</v>
      </c>
      <c r="K55" s="308">
        <v>29</v>
      </c>
      <c r="L55" s="74">
        <f t="shared" ca="1" si="9"/>
        <v>44913</v>
      </c>
      <c r="M55" s="56"/>
      <c r="N55" s="56"/>
      <c r="O55" s="56"/>
      <c r="P55" s="56"/>
      <c r="Q55" s="73">
        <f t="shared" si="2"/>
        <v>0</v>
      </c>
      <c r="S55" s="308">
        <v>29</v>
      </c>
      <c r="T55" s="74">
        <f t="shared" ca="1" si="10"/>
        <v>44913</v>
      </c>
      <c r="U55" s="56"/>
      <c r="V55" s="56"/>
      <c r="W55" s="73">
        <f t="shared" si="14"/>
        <v>127238.61111111111</v>
      </c>
      <c r="X55" s="56"/>
      <c r="Y55" s="73">
        <f t="shared" si="3"/>
        <v>127238.61111111111</v>
      </c>
      <c r="AA55" s="308">
        <v>29</v>
      </c>
      <c r="AB55" s="74">
        <f t="shared" ca="1" si="11"/>
        <v>44913</v>
      </c>
      <c r="AC55" s="56"/>
      <c r="AD55" s="56"/>
      <c r="AE55" s="56"/>
      <c r="AF55" s="56"/>
      <c r="AG55" s="73">
        <f t="shared" si="4"/>
        <v>0</v>
      </c>
      <c r="AI55" s="411">
        <v>29</v>
      </c>
      <c r="AJ55" s="74">
        <f t="shared" si="12"/>
        <v>852</v>
      </c>
      <c r="AK55" s="56"/>
      <c r="AL55" s="56"/>
      <c r="AM55" s="56"/>
      <c r="AN55" s="56"/>
      <c r="AO55" s="73">
        <f t="shared" si="5"/>
        <v>0</v>
      </c>
      <c r="AQ55" s="411">
        <v>29</v>
      </c>
      <c r="AR55" s="74">
        <f t="shared" si="13"/>
        <v>852</v>
      </c>
      <c r="AS55" s="56"/>
      <c r="AT55" s="56"/>
      <c r="AU55" s="73"/>
      <c r="AV55" s="56"/>
      <c r="AW55" s="73">
        <f t="shared" si="6"/>
        <v>0</v>
      </c>
    </row>
    <row r="56" spans="2:49" x14ac:dyDescent="0.45">
      <c r="B56" s="308">
        <v>30</v>
      </c>
      <c r="C56" s="74">
        <f t="shared" ca="1" si="7"/>
        <v>44944</v>
      </c>
      <c r="D56" s="56"/>
      <c r="E56" s="45"/>
      <c r="F56" s="45"/>
      <c r="G56" s="56"/>
      <c r="H56" s="73">
        <f t="shared" si="0"/>
        <v>0</v>
      </c>
      <c r="I56" s="289">
        <f t="shared" si="19"/>
        <v>0</v>
      </c>
      <c r="J56" s="289">
        <f t="shared" si="20"/>
        <v>7.6409370845240462E-3</v>
      </c>
      <c r="K56" s="308">
        <v>30</v>
      </c>
      <c r="L56" s="74">
        <f t="shared" ca="1" si="9"/>
        <v>44944</v>
      </c>
      <c r="M56" s="56"/>
      <c r="N56" s="56"/>
      <c r="O56" s="56"/>
      <c r="P56" s="56"/>
      <c r="Q56" s="73">
        <f t="shared" si="2"/>
        <v>0</v>
      </c>
      <c r="S56" s="308">
        <v>30</v>
      </c>
      <c r="T56" s="74">
        <f t="shared" ca="1" si="10"/>
        <v>44944</v>
      </c>
      <c r="U56" s="56"/>
      <c r="V56" s="56"/>
      <c r="W56" s="73">
        <f t="shared" si="14"/>
        <v>127238.61111111111</v>
      </c>
      <c r="X56" s="56"/>
      <c r="Y56" s="73">
        <f t="shared" si="3"/>
        <v>127238.61111111111</v>
      </c>
      <c r="AA56" s="308">
        <v>30</v>
      </c>
      <c r="AB56" s="74">
        <f t="shared" ca="1" si="11"/>
        <v>44944</v>
      </c>
      <c r="AC56" s="56"/>
      <c r="AD56" s="56"/>
      <c r="AE56" s="56"/>
      <c r="AF56" s="56"/>
      <c r="AG56" s="73">
        <f t="shared" si="4"/>
        <v>0</v>
      </c>
      <c r="AI56" s="411">
        <v>30</v>
      </c>
      <c r="AJ56" s="74">
        <f t="shared" si="12"/>
        <v>883</v>
      </c>
      <c r="AK56" s="56"/>
      <c r="AL56" s="56"/>
      <c r="AM56" s="56"/>
      <c r="AN56" s="56"/>
      <c r="AO56" s="73">
        <f t="shared" si="5"/>
        <v>0</v>
      </c>
      <c r="AQ56" s="411">
        <v>30</v>
      </c>
      <c r="AR56" s="74">
        <f t="shared" si="13"/>
        <v>883</v>
      </c>
      <c r="AS56" s="56"/>
      <c r="AT56" s="56"/>
      <c r="AU56" s="73"/>
      <c r="AV56" s="56"/>
      <c r="AW56" s="73">
        <f t="shared" si="6"/>
        <v>0</v>
      </c>
    </row>
    <row r="57" spans="2:49" x14ac:dyDescent="0.45">
      <c r="B57" s="308">
        <v>31</v>
      </c>
      <c r="C57" s="74">
        <f t="shared" ca="1" si="7"/>
        <v>44975</v>
      </c>
      <c r="D57" s="56"/>
      <c r="E57" s="45"/>
      <c r="F57" s="45"/>
      <c r="G57" s="56"/>
      <c r="H57" s="73">
        <f t="shared" si="0"/>
        <v>0</v>
      </c>
      <c r="I57" s="289">
        <f t="shared" si="19"/>
        <v>0</v>
      </c>
      <c r="J57" s="289">
        <f t="shared" si="20"/>
        <v>7.6409370845240462E-3</v>
      </c>
      <c r="K57" s="308">
        <v>31</v>
      </c>
      <c r="L57" s="74">
        <f t="shared" ca="1" si="9"/>
        <v>44975</v>
      </c>
      <c r="M57" s="56"/>
      <c r="N57" s="56"/>
      <c r="O57" s="56"/>
      <c r="P57" s="56"/>
      <c r="Q57" s="73">
        <f t="shared" si="2"/>
        <v>0</v>
      </c>
      <c r="S57" s="308">
        <v>31</v>
      </c>
      <c r="T57" s="74">
        <f t="shared" ca="1" si="10"/>
        <v>44975</v>
      </c>
      <c r="U57" s="56"/>
      <c r="V57" s="56"/>
      <c r="W57" s="73">
        <f t="shared" si="14"/>
        <v>127238.61111111111</v>
      </c>
      <c r="X57" s="56"/>
      <c r="Y57" s="73">
        <f t="shared" si="3"/>
        <v>127238.61111111111</v>
      </c>
      <c r="AA57" s="308">
        <v>31</v>
      </c>
      <c r="AB57" s="74">
        <f t="shared" ca="1" si="11"/>
        <v>44975</v>
      </c>
      <c r="AC57" s="56"/>
      <c r="AD57" s="56"/>
      <c r="AE57" s="56"/>
      <c r="AF57" s="56"/>
      <c r="AG57" s="73">
        <f t="shared" si="4"/>
        <v>0</v>
      </c>
      <c r="AI57" s="411">
        <v>31</v>
      </c>
      <c r="AJ57" s="74">
        <f t="shared" si="12"/>
        <v>913</v>
      </c>
      <c r="AK57" s="56"/>
      <c r="AL57" s="56"/>
      <c r="AM57" s="56"/>
      <c r="AN57" s="56"/>
      <c r="AO57" s="73">
        <f t="shared" si="5"/>
        <v>0</v>
      </c>
      <c r="AQ57" s="411">
        <v>31</v>
      </c>
      <c r="AR57" s="74">
        <f t="shared" si="13"/>
        <v>913</v>
      </c>
      <c r="AS57" s="56"/>
      <c r="AT57" s="56"/>
      <c r="AU57" s="73"/>
      <c r="AV57" s="56"/>
      <c r="AW57" s="73">
        <f t="shared" si="6"/>
        <v>0</v>
      </c>
    </row>
    <row r="58" spans="2:49" x14ac:dyDescent="0.45">
      <c r="B58" s="308">
        <v>32</v>
      </c>
      <c r="C58" s="74">
        <f t="shared" ca="1" si="7"/>
        <v>45003</v>
      </c>
      <c r="D58" s="56"/>
      <c r="E58" s="45"/>
      <c r="F58" s="45"/>
      <c r="G58" s="56"/>
      <c r="H58" s="73">
        <f t="shared" si="0"/>
        <v>0</v>
      </c>
      <c r="I58" s="289">
        <f t="shared" si="19"/>
        <v>0</v>
      </c>
      <c r="J58" s="289">
        <f t="shared" si="20"/>
        <v>7.6409370845240462E-3</v>
      </c>
      <c r="K58" s="308">
        <v>32</v>
      </c>
      <c r="L58" s="74">
        <f t="shared" ca="1" si="9"/>
        <v>45003</v>
      </c>
      <c r="M58" s="56"/>
      <c r="N58" s="56"/>
      <c r="O58" s="56"/>
      <c r="P58" s="56"/>
      <c r="Q58" s="73">
        <f t="shared" si="2"/>
        <v>0</v>
      </c>
      <c r="S58" s="308">
        <v>32</v>
      </c>
      <c r="T58" s="74">
        <f t="shared" ca="1" si="10"/>
        <v>45003</v>
      </c>
      <c r="U58" s="56"/>
      <c r="V58" s="56"/>
      <c r="W58" s="73">
        <f t="shared" si="14"/>
        <v>127238.61111111111</v>
      </c>
      <c r="X58" s="56"/>
      <c r="Y58" s="73">
        <f t="shared" si="3"/>
        <v>127238.61111111111</v>
      </c>
      <c r="AA58" s="308">
        <v>32</v>
      </c>
      <c r="AB58" s="74">
        <f t="shared" ca="1" si="11"/>
        <v>45003</v>
      </c>
      <c r="AC58" s="56"/>
      <c r="AD58" s="56"/>
      <c r="AE58" s="56"/>
      <c r="AF58" s="56"/>
      <c r="AG58" s="73">
        <f t="shared" si="4"/>
        <v>0</v>
      </c>
      <c r="AI58" s="411">
        <v>32</v>
      </c>
      <c r="AJ58" s="74">
        <f t="shared" si="12"/>
        <v>944</v>
      </c>
      <c r="AK58" s="56"/>
      <c r="AL58" s="56"/>
      <c r="AM58" s="56"/>
      <c r="AN58" s="56"/>
      <c r="AO58" s="73">
        <f t="shared" si="5"/>
        <v>0</v>
      </c>
      <c r="AQ58" s="411">
        <v>32</v>
      </c>
      <c r="AR58" s="74">
        <f t="shared" si="13"/>
        <v>944</v>
      </c>
      <c r="AS58" s="56"/>
      <c r="AT58" s="56"/>
      <c r="AU58" s="73"/>
      <c r="AV58" s="56"/>
      <c r="AW58" s="73">
        <f t="shared" si="6"/>
        <v>0</v>
      </c>
    </row>
    <row r="59" spans="2:49" x14ac:dyDescent="0.45">
      <c r="B59" s="308">
        <v>33</v>
      </c>
      <c r="C59" s="74">
        <f t="shared" ca="1" si="7"/>
        <v>45034</v>
      </c>
      <c r="D59" s="56"/>
      <c r="E59" s="45"/>
      <c r="F59" s="45"/>
      <c r="G59" s="56"/>
      <c r="H59" s="73">
        <f t="shared" si="0"/>
        <v>0</v>
      </c>
      <c r="I59" s="289">
        <f t="shared" si="19"/>
        <v>0</v>
      </c>
      <c r="J59" s="289">
        <f t="shared" si="20"/>
        <v>7.6409370845240462E-3</v>
      </c>
      <c r="K59" s="308">
        <v>33</v>
      </c>
      <c r="L59" s="74">
        <f t="shared" ca="1" si="9"/>
        <v>45034</v>
      </c>
      <c r="M59" s="56"/>
      <c r="N59" s="56"/>
      <c r="O59" s="56"/>
      <c r="P59" s="56"/>
      <c r="Q59" s="73">
        <f t="shared" si="2"/>
        <v>0</v>
      </c>
      <c r="S59" s="308">
        <v>33</v>
      </c>
      <c r="T59" s="74">
        <f t="shared" ca="1" si="10"/>
        <v>45034</v>
      </c>
      <c r="U59" s="56"/>
      <c r="V59" s="56"/>
      <c r="W59" s="73">
        <f t="shared" si="14"/>
        <v>127238.61111111111</v>
      </c>
      <c r="X59" s="56"/>
      <c r="Y59" s="73">
        <f t="shared" si="3"/>
        <v>127238.61111111111</v>
      </c>
      <c r="AA59" s="308">
        <v>33</v>
      </c>
      <c r="AB59" s="74">
        <f t="shared" ca="1" si="11"/>
        <v>45034</v>
      </c>
      <c r="AC59" s="56"/>
      <c r="AD59" s="56"/>
      <c r="AE59" s="56"/>
      <c r="AF59" s="56"/>
      <c r="AG59" s="73">
        <f t="shared" si="4"/>
        <v>0</v>
      </c>
      <c r="AI59" s="411">
        <v>33</v>
      </c>
      <c r="AJ59" s="74">
        <f t="shared" si="12"/>
        <v>975</v>
      </c>
      <c r="AK59" s="56"/>
      <c r="AL59" s="56"/>
      <c r="AM59" s="56"/>
      <c r="AN59" s="56"/>
      <c r="AO59" s="73">
        <f t="shared" si="5"/>
        <v>0</v>
      </c>
      <c r="AQ59" s="411">
        <v>33</v>
      </c>
      <c r="AR59" s="74">
        <f t="shared" si="13"/>
        <v>975</v>
      </c>
      <c r="AS59" s="56"/>
      <c r="AT59" s="56"/>
      <c r="AU59" s="73"/>
      <c r="AV59" s="56"/>
      <c r="AW59" s="73">
        <f t="shared" si="6"/>
        <v>0</v>
      </c>
    </row>
    <row r="60" spans="2:49" x14ac:dyDescent="0.45">
      <c r="B60" s="308">
        <v>34</v>
      </c>
      <c r="C60" s="74">
        <f t="shared" ca="1" si="7"/>
        <v>45064</v>
      </c>
      <c r="D60" s="56"/>
      <c r="E60" s="45"/>
      <c r="F60" s="45"/>
      <c r="G60" s="56"/>
      <c r="H60" s="73">
        <f t="shared" si="0"/>
        <v>0</v>
      </c>
      <c r="I60" s="289">
        <f t="shared" si="19"/>
        <v>0</v>
      </c>
      <c r="J60" s="289">
        <f t="shared" si="20"/>
        <v>7.6409370845240462E-3</v>
      </c>
      <c r="K60" s="308">
        <v>34</v>
      </c>
      <c r="L60" s="74">
        <f t="shared" ca="1" si="9"/>
        <v>45064</v>
      </c>
      <c r="M60" s="56"/>
      <c r="N60" s="56"/>
      <c r="O60" s="56"/>
      <c r="P60" s="56"/>
      <c r="Q60" s="73">
        <f t="shared" si="2"/>
        <v>0</v>
      </c>
      <c r="S60" s="308">
        <v>34</v>
      </c>
      <c r="T60" s="74">
        <f t="shared" ca="1" si="10"/>
        <v>45064</v>
      </c>
      <c r="U60" s="56"/>
      <c r="V60" s="56"/>
      <c r="W60" s="73">
        <f t="shared" si="14"/>
        <v>127238.61111111111</v>
      </c>
      <c r="X60" s="56"/>
      <c r="Y60" s="73">
        <f t="shared" si="3"/>
        <v>127238.61111111111</v>
      </c>
      <c r="AA60" s="308">
        <v>34</v>
      </c>
      <c r="AB60" s="74">
        <f t="shared" ca="1" si="11"/>
        <v>45064</v>
      </c>
      <c r="AC60" s="56"/>
      <c r="AD60" s="56"/>
      <c r="AE60" s="56"/>
      <c r="AF60" s="56"/>
      <c r="AG60" s="73">
        <f t="shared" si="4"/>
        <v>0</v>
      </c>
      <c r="AI60" s="411">
        <v>34</v>
      </c>
      <c r="AJ60" s="74">
        <f t="shared" si="12"/>
        <v>1005</v>
      </c>
      <c r="AK60" s="56"/>
      <c r="AL60" s="56"/>
      <c r="AM60" s="56"/>
      <c r="AN60" s="56"/>
      <c r="AO60" s="73">
        <f t="shared" si="5"/>
        <v>0</v>
      </c>
      <c r="AQ60" s="411">
        <v>34</v>
      </c>
      <c r="AR60" s="74">
        <f t="shared" si="13"/>
        <v>1005</v>
      </c>
      <c r="AS60" s="56"/>
      <c r="AT60" s="56"/>
      <c r="AU60" s="73"/>
      <c r="AV60" s="56"/>
      <c r="AW60" s="73">
        <f t="shared" si="6"/>
        <v>0</v>
      </c>
    </row>
    <row r="61" spans="2:49" x14ac:dyDescent="0.45">
      <c r="B61" s="308">
        <v>35</v>
      </c>
      <c r="C61" s="74">
        <f t="shared" ca="1" si="7"/>
        <v>45095</v>
      </c>
      <c r="D61" s="56"/>
      <c r="E61" s="45"/>
      <c r="F61" s="45"/>
      <c r="G61" s="56"/>
      <c r="H61" s="73">
        <f t="shared" si="0"/>
        <v>0</v>
      </c>
      <c r="I61" s="289">
        <f t="shared" si="19"/>
        <v>0</v>
      </c>
      <c r="J61" s="289">
        <f t="shared" si="20"/>
        <v>7.6409370845240462E-3</v>
      </c>
      <c r="K61" s="308">
        <v>35</v>
      </c>
      <c r="L61" s="74">
        <f t="shared" ca="1" si="9"/>
        <v>45095</v>
      </c>
      <c r="M61" s="56"/>
      <c r="N61" s="56"/>
      <c r="O61" s="56"/>
      <c r="P61" s="56"/>
      <c r="Q61" s="73">
        <f t="shared" si="2"/>
        <v>0</v>
      </c>
      <c r="S61" s="308">
        <v>35</v>
      </c>
      <c r="T61" s="74">
        <f t="shared" ca="1" si="10"/>
        <v>45095</v>
      </c>
      <c r="U61" s="56"/>
      <c r="V61" s="56"/>
      <c r="W61" s="73">
        <f t="shared" si="14"/>
        <v>127238.61111111111</v>
      </c>
      <c r="X61" s="56"/>
      <c r="Y61" s="73">
        <f t="shared" si="3"/>
        <v>127238.61111111111</v>
      </c>
      <c r="AA61" s="308">
        <v>35</v>
      </c>
      <c r="AB61" s="74">
        <f t="shared" ca="1" si="11"/>
        <v>45095</v>
      </c>
      <c r="AC61" s="56"/>
      <c r="AD61" s="56"/>
      <c r="AE61" s="56"/>
      <c r="AF61" s="56"/>
      <c r="AG61" s="73">
        <f t="shared" si="4"/>
        <v>0</v>
      </c>
      <c r="AI61" s="411">
        <v>35</v>
      </c>
      <c r="AJ61" s="74">
        <f t="shared" si="12"/>
        <v>1036</v>
      </c>
      <c r="AK61" s="56"/>
      <c r="AL61" s="56"/>
      <c r="AM61" s="56"/>
      <c r="AN61" s="56"/>
      <c r="AO61" s="73">
        <f t="shared" si="5"/>
        <v>0</v>
      </c>
      <c r="AQ61" s="411">
        <v>35</v>
      </c>
      <c r="AR61" s="74">
        <f t="shared" si="13"/>
        <v>1036</v>
      </c>
      <c r="AS61" s="56"/>
      <c r="AT61" s="56"/>
      <c r="AU61" s="73"/>
      <c r="AV61" s="56"/>
      <c r="AW61" s="73">
        <f t="shared" si="6"/>
        <v>0</v>
      </c>
    </row>
    <row r="62" spans="2:49" x14ac:dyDescent="0.45">
      <c r="B62" s="308">
        <v>36</v>
      </c>
      <c r="C62" s="74">
        <f t="shared" ca="1" si="7"/>
        <v>45125</v>
      </c>
      <c r="D62" s="56"/>
      <c r="E62" s="45"/>
      <c r="F62" s="45"/>
      <c r="G62" s="56"/>
      <c r="H62" s="73">
        <f t="shared" si="0"/>
        <v>0</v>
      </c>
      <c r="I62" s="289">
        <f t="shared" si="19"/>
        <v>0</v>
      </c>
      <c r="J62" s="289">
        <f t="shared" si="20"/>
        <v>7.6409370845240462E-3</v>
      </c>
      <c r="K62" s="308">
        <v>36</v>
      </c>
      <c r="L62" s="74">
        <f t="shared" ca="1" si="9"/>
        <v>45125</v>
      </c>
      <c r="M62" s="56"/>
      <c r="N62" s="56"/>
      <c r="O62" s="56"/>
      <c r="P62" s="56"/>
      <c r="Q62" s="73">
        <f t="shared" si="2"/>
        <v>0</v>
      </c>
      <c r="S62" s="308">
        <v>36</v>
      </c>
      <c r="T62" s="74">
        <f t="shared" ca="1" si="10"/>
        <v>45125</v>
      </c>
      <c r="U62" s="56"/>
      <c r="V62" s="56"/>
      <c r="W62" s="73">
        <f t="shared" si="14"/>
        <v>127238.61111111111</v>
      </c>
      <c r="X62" s="56"/>
      <c r="Y62" s="73">
        <f t="shared" si="3"/>
        <v>127238.61111111111</v>
      </c>
      <c r="AA62" s="308">
        <v>36</v>
      </c>
      <c r="AB62" s="74">
        <f t="shared" ca="1" si="11"/>
        <v>45125</v>
      </c>
      <c r="AC62" s="56"/>
      <c r="AD62" s="56"/>
      <c r="AE62" s="56"/>
      <c r="AF62" s="56"/>
      <c r="AG62" s="73">
        <f t="shared" si="4"/>
        <v>0</v>
      </c>
      <c r="AI62" s="411">
        <v>36</v>
      </c>
      <c r="AJ62" s="74">
        <f t="shared" si="12"/>
        <v>1066</v>
      </c>
      <c r="AK62" s="56"/>
      <c r="AL62" s="56"/>
      <c r="AM62" s="56"/>
      <c r="AN62" s="56"/>
      <c r="AO62" s="73">
        <f t="shared" si="5"/>
        <v>0</v>
      </c>
      <c r="AQ62" s="411">
        <v>36</v>
      </c>
      <c r="AR62" s="74">
        <f t="shared" si="13"/>
        <v>1066</v>
      </c>
      <c r="AS62" s="56"/>
      <c r="AT62" s="56"/>
      <c r="AU62" s="73"/>
      <c r="AV62" s="56"/>
      <c r="AW62" s="73">
        <f t="shared" si="6"/>
        <v>0</v>
      </c>
    </row>
    <row r="63" spans="2:49" x14ac:dyDescent="0.45">
      <c r="B63" s="308">
        <v>37</v>
      </c>
      <c r="C63" s="74">
        <f t="shared" ca="1" si="7"/>
        <v>45156</v>
      </c>
      <c r="D63" s="56"/>
      <c r="E63" s="45"/>
      <c r="F63" s="45"/>
      <c r="G63" s="56"/>
      <c r="H63" s="73">
        <f t="shared" si="0"/>
        <v>0</v>
      </c>
      <c r="I63" s="289">
        <f t="shared" si="19"/>
        <v>0</v>
      </c>
      <c r="J63" s="289">
        <f t="shared" si="20"/>
        <v>7.6409370845240462E-3</v>
      </c>
      <c r="K63" s="308">
        <v>37</v>
      </c>
      <c r="L63" s="74">
        <f t="shared" ca="1" si="9"/>
        <v>45156</v>
      </c>
      <c r="M63" s="56"/>
      <c r="N63" s="56"/>
      <c r="O63" s="56"/>
      <c r="P63" s="56"/>
      <c r="Q63" s="73">
        <f t="shared" si="2"/>
        <v>0</v>
      </c>
      <c r="S63" s="308">
        <v>37</v>
      </c>
      <c r="T63" s="74">
        <f t="shared" ca="1" si="10"/>
        <v>45156</v>
      </c>
      <c r="U63" s="56"/>
      <c r="V63" s="56"/>
      <c r="W63" s="73">
        <f t="shared" si="14"/>
        <v>127238.61111111111</v>
      </c>
      <c r="X63" s="56"/>
      <c r="Y63" s="73">
        <f t="shared" si="3"/>
        <v>127238.61111111111</v>
      </c>
      <c r="AA63" s="308">
        <v>37</v>
      </c>
      <c r="AB63" s="74">
        <f t="shared" ca="1" si="11"/>
        <v>45156</v>
      </c>
      <c r="AC63" s="56"/>
      <c r="AD63" s="56"/>
      <c r="AE63" s="56"/>
      <c r="AF63" s="56"/>
      <c r="AG63" s="73">
        <f t="shared" si="4"/>
        <v>0</v>
      </c>
      <c r="AI63" s="411">
        <v>37</v>
      </c>
      <c r="AJ63" s="74">
        <f t="shared" si="12"/>
        <v>1097</v>
      </c>
      <c r="AK63" s="56"/>
      <c r="AL63" s="56"/>
      <c r="AM63" s="56"/>
      <c r="AN63" s="56"/>
      <c r="AO63" s="73">
        <f t="shared" si="5"/>
        <v>0</v>
      </c>
      <c r="AQ63" s="411">
        <v>37</v>
      </c>
      <c r="AR63" s="74">
        <f t="shared" si="13"/>
        <v>1097</v>
      </c>
      <c r="AS63" s="56"/>
      <c r="AT63" s="56"/>
      <c r="AU63" s="73"/>
      <c r="AV63" s="56"/>
      <c r="AW63" s="73">
        <f t="shared" si="6"/>
        <v>0</v>
      </c>
    </row>
    <row r="64" spans="2:49" x14ac:dyDescent="0.45">
      <c r="B64" s="308">
        <v>38</v>
      </c>
      <c r="C64" s="74">
        <f t="shared" ca="1" si="7"/>
        <v>45187</v>
      </c>
      <c r="D64" s="56"/>
      <c r="E64" s="45"/>
      <c r="F64" s="45"/>
      <c r="G64" s="56"/>
      <c r="H64" s="73">
        <f t="shared" si="0"/>
        <v>0</v>
      </c>
      <c r="I64" s="289">
        <f t="shared" si="19"/>
        <v>0</v>
      </c>
      <c r="J64" s="289">
        <f t="shared" si="20"/>
        <v>7.6409370845240462E-3</v>
      </c>
      <c r="K64" s="308">
        <v>38</v>
      </c>
      <c r="L64" s="74">
        <f t="shared" ca="1" si="9"/>
        <v>45187</v>
      </c>
      <c r="M64" s="56"/>
      <c r="N64" s="56"/>
      <c r="O64" s="56"/>
      <c r="P64" s="56"/>
      <c r="Q64" s="73">
        <f t="shared" si="2"/>
        <v>0</v>
      </c>
      <c r="S64" s="308">
        <v>38</v>
      </c>
      <c r="T64" s="74">
        <f t="shared" ca="1" si="10"/>
        <v>45187</v>
      </c>
      <c r="U64" s="56"/>
      <c r="V64" s="56"/>
      <c r="W64" s="73">
        <f t="shared" si="14"/>
        <v>127238.61111111111</v>
      </c>
      <c r="X64" s="56"/>
      <c r="Y64" s="73">
        <f t="shared" si="3"/>
        <v>127238.61111111111</v>
      </c>
      <c r="AA64" s="308">
        <v>38</v>
      </c>
      <c r="AB64" s="74">
        <f t="shared" ca="1" si="11"/>
        <v>45187</v>
      </c>
      <c r="AC64" s="56"/>
      <c r="AD64" s="56"/>
      <c r="AE64" s="56"/>
      <c r="AF64" s="56"/>
      <c r="AG64" s="73">
        <f t="shared" si="4"/>
        <v>0</v>
      </c>
      <c r="AI64" s="411">
        <v>38</v>
      </c>
      <c r="AJ64" s="74">
        <f t="shared" si="12"/>
        <v>1128</v>
      </c>
      <c r="AK64" s="56"/>
      <c r="AL64" s="56"/>
      <c r="AM64" s="56"/>
      <c r="AN64" s="56"/>
      <c r="AO64" s="73">
        <f t="shared" si="5"/>
        <v>0</v>
      </c>
      <c r="AQ64" s="411">
        <v>38</v>
      </c>
      <c r="AR64" s="74">
        <f t="shared" si="13"/>
        <v>1128</v>
      </c>
      <c r="AS64" s="56"/>
      <c r="AT64" s="56"/>
      <c r="AU64" s="73"/>
      <c r="AV64" s="56"/>
      <c r="AW64" s="73">
        <f t="shared" si="6"/>
        <v>0</v>
      </c>
    </row>
    <row r="65" spans="2:49" hidden="1" x14ac:dyDescent="0.45">
      <c r="B65" s="308">
        <v>39</v>
      </c>
      <c r="C65" s="74">
        <f t="shared" ca="1" si="7"/>
        <v>45217</v>
      </c>
      <c r="D65" s="56"/>
      <c r="E65" s="45"/>
      <c r="F65" s="45"/>
      <c r="G65" s="56"/>
      <c r="H65" s="73">
        <f t="shared" si="0"/>
        <v>0</v>
      </c>
      <c r="I65" s="289">
        <f t="shared" si="19"/>
        <v>0</v>
      </c>
      <c r="J65" s="289">
        <f t="shared" si="20"/>
        <v>7.6409370845240462E-3</v>
      </c>
      <c r="K65" s="308">
        <f>K64+1</f>
        <v>39</v>
      </c>
      <c r="L65" s="74">
        <f t="shared" ca="1" si="9"/>
        <v>45217</v>
      </c>
      <c r="M65" s="56"/>
      <c r="N65" s="56"/>
      <c r="O65" s="56"/>
      <c r="P65" s="56"/>
      <c r="Q65" s="73"/>
      <c r="S65" s="308"/>
      <c r="T65" s="74"/>
      <c r="U65" s="56"/>
      <c r="V65" s="56"/>
      <c r="W65" s="56"/>
      <c r="X65" s="56"/>
      <c r="Y65" s="73"/>
      <c r="AA65" s="308">
        <v>39</v>
      </c>
      <c r="AB65" s="74">
        <f t="shared" ca="1" si="11"/>
        <v>45217</v>
      </c>
      <c r="AC65" s="56"/>
      <c r="AD65" s="56"/>
      <c r="AE65" s="56"/>
      <c r="AF65" s="56"/>
      <c r="AG65" s="73">
        <f t="shared" si="4"/>
        <v>0</v>
      </c>
      <c r="AI65" s="411">
        <v>39</v>
      </c>
      <c r="AJ65" s="74">
        <f t="shared" si="12"/>
        <v>1156</v>
      </c>
      <c r="AK65" s="56"/>
      <c r="AL65" s="56"/>
      <c r="AM65" s="56"/>
      <c r="AN65" s="56"/>
      <c r="AO65" s="73">
        <f t="shared" ref="AO65:AO72" si="21">SUM(AK65+AL65+AM65-AN65)</f>
        <v>0</v>
      </c>
      <c r="AQ65" s="411">
        <v>39</v>
      </c>
      <c r="AR65" s="74">
        <f t="shared" si="13"/>
        <v>1156</v>
      </c>
      <c r="AS65" s="56"/>
      <c r="AT65" s="56"/>
      <c r="AU65" s="73"/>
      <c r="AV65" s="56"/>
      <c r="AW65" s="73">
        <f t="shared" ref="AW65:AW72" si="22">SUM(AS65+AT65+AU65-AV65)</f>
        <v>0</v>
      </c>
    </row>
    <row r="66" spans="2:49" hidden="1" x14ac:dyDescent="0.45">
      <c r="B66" s="308">
        <v>40</v>
      </c>
      <c r="C66" s="74">
        <f t="shared" ca="1" si="7"/>
        <v>45248</v>
      </c>
      <c r="D66" s="56"/>
      <c r="E66" s="45"/>
      <c r="F66" s="45"/>
      <c r="G66" s="56"/>
      <c r="H66" s="73">
        <f t="shared" si="0"/>
        <v>0</v>
      </c>
      <c r="I66" s="289">
        <f t="shared" si="19"/>
        <v>0</v>
      </c>
      <c r="J66" s="289">
        <f t="shared" si="20"/>
        <v>7.6409370845240462E-3</v>
      </c>
      <c r="K66" s="308">
        <f t="shared" ref="K66:K72" si="23">K65+1</f>
        <v>40</v>
      </c>
      <c r="L66" s="74">
        <f t="shared" ca="1" si="9"/>
        <v>45248</v>
      </c>
      <c r="M66" s="56"/>
      <c r="N66" s="56"/>
      <c r="O66" s="56"/>
      <c r="P66" s="56"/>
      <c r="Q66" s="73"/>
      <c r="S66" s="308"/>
      <c r="T66" s="74"/>
      <c r="U66" s="56"/>
      <c r="V66" s="56"/>
      <c r="W66" s="56"/>
      <c r="X66" s="56"/>
      <c r="Y66" s="73"/>
      <c r="AA66" s="308">
        <v>40</v>
      </c>
      <c r="AB66" s="74">
        <f t="shared" ca="1" si="11"/>
        <v>45248</v>
      </c>
      <c r="AC66" s="56"/>
      <c r="AD66" s="56"/>
      <c r="AE66" s="56"/>
      <c r="AF66" s="56"/>
      <c r="AG66" s="73">
        <f t="shared" si="4"/>
        <v>0</v>
      </c>
      <c r="AI66" s="411">
        <v>40</v>
      </c>
      <c r="AJ66" s="74">
        <f t="shared" si="12"/>
        <v>1187</v>
      </c>
      <c r="AK66" s="56"/>
      <c r="AL66" s="56"/>
      <c r="AM66" s="56"/>
      <c r="AN66" s="56"/>
      <c r="AO66" s="73">
        <f t="shared" si="21"/>
        <v>0</v>
      </c>
      <c r="AQ66" s="411">
        <v>40</v>
      </c>
      <c r="AR66" s="74">
        <f t="shared" si="13"/>
        <v>1187</v>
      </c>
      <c r="AS66" s="56"/>
      <c r="AT66" s="56"/>
      <c r="AU66" s="73"/>
      <c r="AV66" s="56"/>
      <c r="AW66" s="73">
        <f t="shared" si="22"/>
        <v>0</v>
      </c>
    </row>
    <row r="67" spans="2:49" hidden="1" x14ac:dyDescent="0.45">
      <c r="B67" s="308">
        <v>41</v>
      </c>
      <c r="C67" s="74">
        <f t="shared" ca="1" si="7"/>
        <v>45278</v>
      </c>
      <c r="D67" s="56"/>
      <c r="E67" s="45"/>
      <c r="F67" s="45"/>
      <c r="G67" s="56"/>
      <c r="H67" s="73">
        <f t="shared" si="0"/>
        <v>0</v>
      </c>
      <c r="I67" s="289">
        <f t="shared" si="19"/>
        <v>0</v>
      </c>
      <c r="J67" s="289">
        <f t="shared" si="20"/>
        <v>7.6409370845240462E-3</v>
      </c>
      <c r="K67" s="308">
        <f t="shared" si="23"/>
        <v>41</v>
      </c>
      <c r="L67" s="74">
        <f t="shared" ca="1" si="9"/>
        <v>45278</v>
      </c>
      <c r="M67" s="56"/>
      <c r="N67" s="56"/>
      <c r="O67" s="56"/>
      <c r="P67" s="56"/>
      <c r="Q67" s="73"/>
      <c r="S67" s="308"/>
      <c r="T67" s="74"/>
      <c r="U67" s="56"/>
      <c r="V67" s="56"/>
      <c r="W67" s="56"/>
      <c r="X67" s="56"/>
      <c r="Y67" s="73"/>
      <c r="AA67" s="308">
        <v>41</v>
      </c>
      <c r="AB67" s="74">
        <f t="shared" ca="1" si="11"/>
        <v>45278</v>
      </c>
      <c r="AC67" s="56"/>
      <c r="AD67" s="56"/>
      <c r="AE67" s="56"/>
      <c r="AF67" s="56"/>
      <c r="AG67" s="73">
        <f t="shared" si="4"/>
        <v>0</v>
      </c>
      <c r="AI67" s="411">
        <v>41</v>
      </c>
      <c r="AJ67" s="74">
        <f t="shared" si="12"/>
        <v>1217</v>
      </c>
      <c r="AK67" s="56"/>
      <c r="AL67" s="56"/>
      <c r="AM67" s="56"/>
      <c r="AN67" s="56"/>
      <c r="AO67" s="73">
        <f t="shared" si="21"/>
        <v>0</v>
      </c>
      <c r="AQ67" s="411">
        <v>41</v>
      </c>
      <c r="AR67" s="74">
        <f t="shared" si="13"/>
        <v>1217</v>
      </c>
      <c r="AS67" s="56"/>
      <c r="AT67" s="56"/>
      <c r="AU67" s="73"/>
      <c r="AV67" s="56"/>
      <c r="AW67" s="73">
        <f t="shared" si="22"/>
        <v>0</v>
      </c>
    </row>
    <row r="68" spans="2:49" hidden="1" x14ac:dyDescent="0.45">
      <c r="B68" s="308">
        <v>42</v>
      </c>
      <c r="C68" s="74">
        <f t="shared" ca="1" si="7"/>
        <v>45309</v>
      </c>
      <c r="D68" s="56"/>
      <c r="E68" s="45"/>
      <c r="F68" s="45"/>
      <c r="G68" s="56"/>
      <c r="H68" s="73">
        <f t="shared" si="0"/>
        <v>0</v>
      </c>
      <c r="I68" s="289">
        <f t="shared" si="19"/>
        <v>0</v>
      </c>
      <c r="J68" s="289">
        <f t="shared" si="20"/>
        <v>7.6409370845240462E-3</v>
      </c>
      <c r="K68" s="308">
        <f t="shared" si="23"/>
        <v>42</v>
      </c>
      <c r="L68" s="74">
        <f t="shared" ca="1" si="9"/>
        <v>45309</v>
      </c>
      <c r="M68" s="56"/>
      <c r="N68" s="56"/>
      <c r="O68" s="56"/>
      <c r="P68" s="56"/>
      <c r="Q68" s="73"/>
      <c r="S68" s="308"/>
      <c r="T68" s="74"/>
      <c r="U68" s="56"/>
      <c r="V68" s="56"/>
      <c r="W68" s="56"/>
      <c r="X68" s="56"/>
      <c r="Y68" s="73"/>
      <c r="AA68" s="308">
        <v>42</v>
      </c>
      <c r="AB68" s="74">
        <f t="shared" ca="1" si="11"/>
        <v>45309</v>
      </c>
      <c r="AC68" s="56"/>
      <c r="AD68" s="56"/>
      <c r="AE68" s="56"/>
      <c r="AF68" s="56"/>
      <c r="AG68" s="73">
        <f t="shared" si="4"/>
        <v>0</v>
      </c>
      <c r="AI68" s="411">
        <v>42</v>
      </c>
      <c r="AJ68" s="74">
        <f t="shared" si="12"/>
        <v>1248</v>
      </c>
      <c r="AK68" s="56"/>
      <c r="AL68" s="56"/>
      <c r="AM68" s="56"/>
      <c r="AN68" s="56"/>
      <c r="AO68" s="73">
        <f t="shared" si="21"/>
        <v>0</v>
      </c>
      <c r="AQ68" s="411">
        <v>42</v>
      </c>
      <c r="AR68" s="74">
        <f t="shared" si="13"/>
        <v>1248</v>
      </c>
      <c r="AS68" s="56"/>
      <c r="AT68" s="56"/>
      <c r="AU68" s="73"/>
      <c r="AV68" s="56"/>
      <c r="AW68" s="73">
        <f t="shared" si="22"/>
        <v>0</v>
      </c>
    </row>
    <row r="69" spans="2:49" hidden="1" x14ac:dyDescent="0.45">
      <c r="B69" s="308">
        <v>43</v>
      </c>
      <c r="C69" s="74">
        <f t="shared" ca="1" si="7"/>
        <v>45340</v>
      </c>
      <c r="D69" s="56"/>
      <c r="E69" s="45"/>
      <c r="F69" s="45"/>
      <c r="G69" s="56"/>
      <c r="H69" s="73">
        <f t="shared" si="0"/>
        <v>0</v>
      </c>
      <c r="I69" s="289">
        <f t="shared" si="19"/>
        <v>0</v>
      </c>
      <c r="J69" s="289">
        <f t="shared" si="20"/>
        <v>7.6409370845240462E-3</v>
      </c>
      <c r="K69" s="308">
        <f t="shared" si="23"/>
        <v>43</v>
      </c>
      <c r="L69" s="74">
        <f t="shared" ca="1" si="9"/>
        <v>45340</v>
      </c>
      <c r="M69" s="56"/>
      <c r="N69" s="56"/>
      <c r="O69" s="56"/>
      <c r="P69" s="56"/>
      <c r="Q69" s="73"/>
      <c r="S69" s="308"/>
      <c r="T69" s="74"/>
      <c r="U69" s="56"/>
      <c r="V69" s="56"/>
      <c r="W69" s="56"/>
      <c r="X69" s="56"/>
      <c r="Y69" s="73"/>
      <c r="AA69" s="308">
        <v>43</v>
      </c>
      <c r="AB69" s="74">
        <f t="shared" ca="1" si="11"/>
        <v>45340</v>
      </c>
      <c r="AC69" s="56"/>
      <c r="AD69" s="56"/>
      <c r="AE69" s="56"/>
      <c r="AF69" s="56"/>
      <c r="AG69" s="73">
        <f t="shared" si="4"/>
        <v>0</v>
      </c>
      <c r="AI69" s="411">
        <v>43</v>
      </c>
      <c r="AJ69" s="74">
        <f t="shared" si="12"/>
        <v>1278</v>
      </c>
      <c r="AK69" s="56"/>
      <c r="AL69" s="56"/>
      <c r="AM69" s="56"/>
      <c r="AN69" s="56"/>
      <c r="AO69" s="73">
        <f t="shared" si="21"/>
        <v>0</v>
      </c>
      <c r="AQ69" s="411">
        <v>43</v>
      </c>
      <c r="AR69" s="74">
        <f t="shared" si="13"/>
        <v>1278</v>
      </c>
      <c r="AS69" s="56"/>
      <c r="AT69" s="56"/>
      <c r="AU69" s="73"/>
      <c r="AV69" s="56"/>
      <c r="AW69" s="73">
        <f t="shared" si="22"/>
        <v>0</v>
      </c>
    </row>
    <row r="70" spans="2:49" hidden="1" x14ac:dyDescent="0.45">
      <c r="B70" s="308">
        <v>44</v>
      </c>
      <c r="C70" s="74">
        <f t="shared" ca="1" si="7"/>
        <v>45369</v>
      </c>
      <c r="D70" s="56"/>
      <c r="E70" s="45"/>
      <c r="F70" s="45"/>
      <c r="G70" s="56"/>
      <c r="H70" s="73">
        <f t="shared" si="0"/>
        <v>0</v>
      </c>
      <c r="I70" s="289">
        <f t="shared" si="19"/>
        <v>0</v>
      </c>
      <c r="J70" s="289">
        <f t="shared" si="20"/>
        <v>7.6409370845240462E-3</v>
      </c>
      <c r="K70" s="308">
        <f t="shared" si="23"/>
        <v>44</v>
      </c>
      <c r="L70" s="74">
        <f t="shared" ca="1" si="9"/>
        <v>45369</v>
      </c>
      <c r="M70" s="56"/>
      <c r="N70" s="56"/>
      <c r="O70" s="56"/>
      <c r="P70" s="56"/>
      <c r="Q70" s="73"/>
      <c r="S70" s="308"/>
      <c r="T70" s="74"/>
      <c r="U70" s="56"/>
      <c r="V70" s="56"/>
      <c r="W70" s="56"/>
      <c r="X70" s="56"/>
      <c r="Y70" s="73"/>
      <c r="AA70" s="308">
        <v>44</v>
      </c>
      <c r="AB70" s="74">
        <f t="shared" ca="1" si="11"/>
        <v>45369</v>
      </c>
      <c r="AC70" s="56"/>
      <c r="AD70" s="56"/>
      <c r="AE70" s="56"/>
      <c r="AF70" s="56"/>
      <c r="AG70" s="73">
        <f t="shared" si="4"/>
        <v>0</v>
      </c>
      <c r="AI70" s="411">
        <v>44</v>
      </c>
      <c r="AJ70" s="74">
        <f t="shared" si="12"/>
        <v>1309</v>
      </c>
      <c r="AK70" s="56"/>
      <c r="AL70" s="56"/>
      <c r="AM70" s="56"/>
      <c r="AN70" s="56"/>
      <c r="AO70" s="73">
        <f t="shared" si="21"/>
        <v>0</v>
      </c>
      <c r="AQ70" s="411">
        <v>44</v>
      </c>
      <c r="AR70" s="74">
        <f t="shared" si="13"/>
        <v>1309</v>
      </c>
      <c r="AS70" s="56"/>
      <c r="AT70" s="56"/>
      <c r="AU70" s="73"/>
      <c r="AV70" s="56"/>
      <c r="AW70" s="73">
        <f t="shared" si="22"/>
        <v>0</v>
      </c>
    </row>
    <row r="71" spans="2:49" hidden="1" x14ac:dyDescent="0.45">
      <c r="B71" s="308">
        <v>45</v>
      </c>
      <c r="C71" s="74">
        <f t="shared" ca="1" si="7"/>
        <v>45400</v>
      </c>
      <c r="D71" s="56"/>
      <c r="E71" s="56"/>
      <c r="F71" s="45"/>
      <c r="G71" s="56"/>
      <c r="H71" s="73">
        <f t="shared" si="0"/>
        <v>0</v>
      </c>
      <c r="I71" s="289">
        <f t="shared" si="19"/>
        <v>0</v>
      </c>
      <c r="J71" s="289">
        <f t="shared" si="20"/>
        <v>7.6409370845240462E-3</v>
      </c>
      <c r="K71" s="308">
        <f t="shared" si="23"/>
        <v>45</v>
      </c>
      <c r="L71" s="74">
        <f ca="1">EDATE(L64,1)</f>
        <v>45217</v>
      </c>
      <c r="M71" s="56"/>
      <c r="N71" s="56"/>
      <c r="O71" s="56"/>
      <c r="P71" s="56"/>
      <c r="Q71" s="73">
        <f t="shared" si="2"/>
        <v>0</v>
      </c>
      <c r="S71" s="308">
        <v>39</v>
      </c>
      <c r="T71" s="74">
        <f ca="1">EDATE(T64,1)</f>
        <v>45217</v>
      </c>
      <c r="U71" s="56"/>
      <c r="V71" s="56"/>
      <c r="W71" s="56"/>
      <c r="X71" s="56"/>
      <c r="Y71" s="73">
        <f t="shared" si="3"/>
        <v>0</v>
      </c>
      <c r="AA71" s="308">
        <v>45</v>
      </c>
      <c r="AB71" s="74">
        <f t="shared" ca="1" si="11"/>
        <v>45400</v>
      </c>
      <c r="AC71" s="56"/>
      <c r="AD71" s="56"/>
      <c r="AE71" s="56"/>
      <c r="AF71" s="56"/>
      <c r="AG71" s="73">
        <f t="shared" si="4"/>
        <v>0</v>
      </c>
      <c r="AI71" s="411">
        <v>45</v>
      </c>
      <c r="AJ71" s="74">
        <f t="shared" si="12"/>
        <v>1340</v>
      </c>
      <c r="AK71" s="56"/>
      <c r="AL71" s="56"/>
      <c r="AM71" s="56"/>
      <c r="AN71" s="56"/>
      <c r="AO71" s="73">
        <f t="shared" si="21"/>
        <v>0</v>
      </c>
      <c r="AQ71" s="411">
        <v>45</v>
      </c>
      <c r="AR71" s="74">
        <f t="shared" si="13"/>
        <v>1340</v>
      </c>
      <c r="AS71" s="56"/>
      <c r="AT71" s="56"/>
      <c r="AU71" s="73"/>
      <c r="AV71" s="56"/>
      <c r="AW71" s="73">
        <f t="shared" si="22"/>
        <v>0</v>
      </c>
    </row>
    <row r="72" spans="2:49" hidden="1" x14ac:dyDescent="0.45">
      <c r="B72" s="308">
        <v>46</v>
      </c>
      <c r="C72" s="74">
        <f t="shared" ca="1" si="7"/>
        <v>45430</v>
      </c>
      <c r="D72" s="56"/>
      <c r="E72" s="56"/>
      <c r="F72" s="45"/>
      <c r="G72" s="56"/>
      <c r="H72" s="73">
        <f t="shared" si="0"/>
        <v>0</v>
      </c>
      <c r="I72" s="289">
        <f t="shared" si="19"/>
        <v>0</v>
      </c>
      <c r="J72" s="289">
        <f t="shared" si="20"/>
        <v>7.6409370845240462E-3</v>
      </c>
      <c r="K72" s="308">
        <f t="shared" si="23"/>
        <v>46</v>
      </c>
      <c r="L72" s="74">
        <f t="shared" ca="1" si="9"/>
        <v>45248</v>
      </c>
      <c r="M72" s="56"/>
      <c r="N72" s="56"/>
      <c r="O72" s="56"/>
      <c r="P72" s="56"/>
      <c r="Q72" s="73">
        <f t="shared" si="2"/>
        <v>0</v>
      </c>
      <c r="S72" s="308">
        <v>40</v>
      </c>
      <c r="T72" s="74">
        <f t="shared" ca="1" si="10"/>
        <v>45248</v>
      </c>
      <c r="U72" s="56"/>
      <c r="V72" s="56"/>
      <c r="W72" s="56"/>
      <c r="X72" s="56"/>
      <c r="Y72" s="73">
        <f t="shared" si="3"/>
        <v>0</v>
      </c>
      <c r="AA72" s="308">
        <v>46</v>
      </c>
      <c r="AB72" s="74">
        <f t="shared" ca="1" si="11"/>
        <v>45430</v>
      </c>
      <c r="AC72" s="56"/>
      <c r="AD72" s="56"/>
      <c r="AE72" s="56"/>
      <c r="AF72" s="56"/>
      <c r="AG72" s="73">
        <f t="shared" si="4"/>
        <v>0</v>
      </c>
      <c r="AI72" s="411">
        <v>46</v>
      </c>
      <c r="AJ72" s="74">
        <f t="shared" si="12"/>
        <v>1370</v>
      </c>
      <c r="AK72" s="56"/>
      <c r="AL72" s="56"/>
      <c r="AM72" s="56"/>
      <c r="AN72" s="56"/>
      <c r="AO72" s="73">
        <f t="shared" si="21"/>
        <v>0</v>
      </c>
      <c r="AQ72" s="411">
        <v>46</v>
      </c>
      <c r="AR72" s="74">
        <f t="shared" si="13"/>
        <v>1370</v>
      </c>
      <c r="AS72" s="56"/>
      <c r="AT72" s="56"/>
      <c r="AU72" s="73"/>
      <c r="AV72" s="56"/>
      <c r="AW72" s="73">
        <f t="shared" si="22"/>
        <v>0</v>
      </c>
    </row>
    <row r="73" spans="2:49" s="11" customFormat="1" x14ac:dyDescent="0.45">
      <c r="B73" s="75" t="s">
        <v>633</v>
      </c>
      <c r="C73" s="76"/>
      <c r="D73" s="82">
        <f>SUM(D27:D72)</f>
        <v>50000</v>
      </c>
      <c r="E73" s="82">
        <f>SUM(E27:E72)</f>
        <v>0</v>
      </c>
      <c r="F73" s="82">
        <f>SUM(F27:F72)</f>
        <v>0</v>
      </c>
      <c r="G73" s="82">
        <f>SUM(G27:G72)</f>
        <v>0</v>
      </c>
      <c r="H73" s="82">
        <f>SUM(H27:H72)</f>
        <v>50000</v>
      </c>
      <c r="I73" s="289">
        <f t="shared" ref="I73" si="24">H73/$D$16</f>
        <v>7.6409370845240462E-3</v>
      </c>
      <c r="J73" s="289">
        <f t="shared" ref="J73" si="25">I73+J72</f>
        <v>1.5281874169048092E-2</v>
      </c>
      <c r="K73" s="75" t="s">
        <v>633</v>
      </c>
      <c r="L73" s="76"/>
      <c r="M73" s="82">
        <f>SUM(M27:M72)</f>
        <v>50000</v>
      </c>
      <c r="N73" s="82">
        <f>SUM(N27:N72)</f>
        <v>5904700</v>
      </c>
      <c r="O73" s="82">
        <f>SUM(O27:O72)</f>
        <v>0</v>
      </c>
      <c r="P73" s="82">
        <f>SUM(P27:P72)</f>
        <v>0</v>
      </c>
      <c r="Q73" s="82">
        <f>SUM(Q27:Q72)</f>
        <v>5954700</v>
      </c>
      <c r="S73" s="75" t="s">
        <v>633</v>
      </c>
      <c r="T73" s="76"/>
      <c r="U73" s="82">
        <f>SUM(U27:U72)</f>
        <v>50000</v>
      </c>
      <c r="V73" s="82">
        <f>SUM(V27:V72)</f>
        <v>1913110</v>
      </c>
      <c r="W73" s="82">
        <f>SUM(W27:W72)</f>
        <v>4580589.9999999972</v>
      </c>
      <c r="X73" s="82">
        <f>SUM(X27:X72)</f>
        <v>0</v>
      </c>
      <c r="Y73" s="82">
        <f>SUM(Y27:Y72)</f>
        <v>6543699.9999999963</v>
      </c>
      <c r="AA73" s="75" t="s">
        <v>633</v>
      </c>
      <c r="AB73" s="76"/>
      <c r="AC73" s="82">
        <f>SUM(AC27:AC72)</f>
        <v>50000</v>
      </c>
      <c r="AD73" s="82">
        <f>SUM(AD27:AD72)</f>
        <v>604370</v>
      </c>
      <c r="AE73" s="82">
        <f>SUM(AE27:AE72)</f>
        <v>5889330.0000000009</v>
      </c>
      <c r="AF73" s="82">
        <f>SUM(AF27:AF72)</f>
        <v>0</v>
      </c>
      <c r="AG73" s="82">
        <f>SUM(AG27:AG72)</f>
        <v>6543700</v>
      </c>
      <c r="AI73" s="75" t="s">
        <v>633</v>
      </c>
      <c r="AJ73" s="76"/>
      <c r="AK73" s="82">
        <f>SUM(AK27:AK72)</f>
        <v>50000</v>
      </c>
      <c r="AL73" s="82">
        <f>SUM(AL27:AL72)</f>
        <v>1100000</v>
      </c>
      <c r="AM73" s="82">
        <f>SUM(AM27:AM72)</f>
        <v>327185</v>
      </c>
      <c r="AN73" s="82">
        <f>SUM(AN27:AN72)</f>
        <v>5066515</v>
      </c>
      <c r="AO73" s="82">
        <f>SUM(AO27:AO72)</f>
        <v>6543700</v>
      </c>
      <c r="AQ73" s="75" t="s">
        <v>633</v>
      </c>
      <c r="AR73" s="76"/>
      <c r="AS73" s="82">
        <f>SUM(AS27:AS72)</f>
        <v>50000</v>
      </c>
      <c r="AT73" s="82">
        <f>SUM(AT27:AT72)</f>
        <v>1000000</v>
      </c>
      <c r="AU73" s="415">
        <f>SUM(AU27:AU72)</f>
        <v>490777.5</v>
      </c>
      <c r="AV73" s="82">
        <f>SUM(AV27:AV72)</f>
        <v>5002922.5</v>
      </c>
      <c r="AW73" s="82">
        <f>SUM(AW27:AW72)</f>
        <v>6543700</v>
      </c>
    </row>
    <row r="74" spans="2:49" ht="19" thickBot="1" x14ac:dyDescent="0.5"/>
    <row r="75" spans="2:49" ht="19" thickBot="1" x14ac:dyDescent="0.5">
      <c r="E75" s="11"/>
      <c r="F75" s="138" t="s">
        <v>668</v>
      </c>
      <c r="G75" s="139">
        <f>H75/$C$6</f>
        <v>7.6409596908445709E-3</v>
      </c>
      <c r="H75" s="140">
        <f>NPV(10%/12,H28:H72)+H27</f>
        <v>50000</v>
      </c>
      <c r="N75" s="11"/>
      <c r="O75" s="138" t="s">
        <v>668</v>
      </c>
      <c r="P75" s="139">
        <f>Q75/$C$6</f>
        <v>0.90216208080605287</v>
      </c>
      <c r="Q75" s="140">
        <f>NPV(10%/12,Q28:Q72)+Q27</f>
        <v>5903460.5423126835</v>
      </c>
      <c r="V75" s="11"/>
      <c r="W75" s="138" t="s">
        <v>668</v>
      </c>
      <c r="X75" s="139">
        <f>Y75/$C$6</f>
        <v>0.89521359044959747</v>
      </c>
      <c r="Y75" s="140">
        <f>NPV(10%/12,Y28:Y72)+Y27</f>
        <v>5857991.8404899193</v>
      </c>
      <c r="AD75" s="11"/>
      <c r="AE75" s="138" t="s">
        <v>668</v>
      </c>
      <c r="AF75" s="139">
        <f>AG75/$AC$16</f>
        <v>0.86039342485012504</v>
      </c>
      <c r="AG75" s="140">
        <f>NPV(10%/12,AG28:AG72)+AG27</f>
        <v>5630156.454191763</v>
      </c>
      <c r="AL75" s="11"/>
      <c r="AM75" s="138" t="s">
        <v>668</v>
      </c>
      <c r="AN75" s="139">
        <f>AO75/$AC$16</f>
        <v>0.83974422924453884</v>
      </c>
      <c r="AO75" s="140">
        <f>NPV(10%/12,AO28:AO72)+AO27</f>
        <v>5495034.312907489</v>
      </c>
      <c r="AT75" s="11"/>
      <c r="AU75" s="416" t="s">
        <v>668</v>
      </c>
      <c r="AV75" s="139">
        <f>AW75/$AC$16</f>
        <v>0.84061703975784485</v>
      </c>
      <c r="AW75" s="140">
        <f>NPV(10%/12,AW28:AW72)+AW27</f>
        <v>5500745.7230634093</v>
      </c>
    </row>
    <row r="76" spans="2:49" x14ac:dyDescent="0.45">
      <c r="E76" s="11"/>
      <c r="F76" s="11"/>
      <c r="G76" s="83"/>
      <c r="H76" s="19"/>
      <c r="N76" s="11"/>
      <c r="O76" s="11"/>
      <c r="P76" s="83"/>
      <c r="Q76" s="19"/>
      <c r="V76" s="11"/>
      <c r="W76" s="11"/>
      <c r="X76" s="83"/>
      <c r="Y76" s="19"/>
      <c r="AD76" s="11"/>
      <c r="AE76" s="11"/>
      <c r="AF76" s="83"/>
      <c r="AG76" s="19"/>
      <c r="AL76" s="11"/>
      <c r="AM76" s="11"/>
      <c r="AN76" s="83"/>
      <c r="AO76" s="19"/>
      <c r="AT76" s="11"/>
      <c r="AU76" s="12"/>
      <c r="AV76" s="83"/>
      <c r="AW76" s="19"/>
    </row>
    <row r="77" spans="2:49" x14ac:dyDescent="0.45">
      <c r="E77" s="159" t="s">
        <v>773</v>
      </c>
      <c r="F77" s="159"/>
      <c r="G77" s="160">
        <f>G75-P75</f>
        <v>-0.89452112111520832</v>
      </c>
      <c r="H77" s="161">
        <f>H75-Q75</f>
        <v>-5853460.5423126835</v>
      </c>
    </row>
    <row r="78" spans="2:49" x14ac:dyDescent="0.45">
      <c r="E78" s="159" t="s">
        <v>774</v>
      </c>
      <c r="F78" s="159"/>
      <c r="G78" s="160">
        <f>G75-X75</f>
        <v>-0.88757263075875292</v>
      </c>
      <c r="H78" s="161">
        <f>H75-Y75</f>
        <v>-5807991.8404899193</v>
      </c>
    </row>
    <row r="79" spans="2:49" hidden="1" x14ac:dyDescent="0.45">
      <c r="E79" s="159"/>
      <c r="F79" s="159"/>
      <c r="G79" s="160"/>
      <c r="H79" s="161"/>
    </row>
    <row r="80" spans="2:49" x14ac:dyDescent="0.45">
      <c r="E80" s="159" t="s">
        <v>903</v>
      </c>
      <c r="F80" s="159"/>
      <c r="G80" s="160">
        <f>$G$75-AF75</f>
        <v>-0.85275246515928049</v>
      </c>
      <c r="H80" s="161">
        <f>$H$75-AG75</f>
        <v>-5580156.454191763</v>
      </c>
    </row>
    <row r="81" spans="2:43" x14ac:dyDescent="0.45">
      <c r="B81" s="412"/>
      <c r="E81" s="159" t="s">
        <v>911</v>
      </c>
      <c r="F81" s="159"/>
      <c r="G81" s="160">
        <f>$G$75-AN75</f>
        <v>-0.83210326955369429</v>
      </c>
      <c r="H81" s="161">
        <f>$H$75-AO75</f>
        <v>-5445034.312907489</v>
      </c>
      <c r="K81" s="412"/>
      <c r="S81" s="412"/>
      <c r="AA81" s="412"/>
    </row>
    <row r="82" spans="2:43" x14ac:dyDescent="0.45">
      <c r="B82" s="412"/>
      <c r="E82" s="159" t="s">
        <v>912</v>
      </c>
      <c r="F82" s="159"/>
      <c r="G82" s="160">
        <f>$G$75-AV75</f>
        <v>-0.8329760800670003</v>
      </c>
      <c r="H82" s="161">
        <f>$H$75-AW75</f>
        <v>-5450745.7230634093</v>
      </c>
      <c r="K82" s="412"/>
      <c r="S82" s="412"/>
      <c r="AA82" s="412"/>
    </row>
    <row r="83" spans="2:43" x14ac:dyDescent="0.45">
      <c r="B83" s="85" t="s">
        <v>639</v>
      </c>
      <c r="G83" s="87"/>
      <c r="H83" s="18"/>
    </row>
    <row r="84" spans="2:43" x14ac:dyDescent="0.45">
      <c r="B84" s="84"/>
      <c r="G84" s="87"/>
      <c r="H84" s="18"/>
    </row>
    <row r="85" spans="2:43" x14ac:dyDescent="0.45">
      <c r="B85" s="310"/>
    </row>
    <row r="86" spans="2:43" x14ac:dyDescent="0.45">
      <c r="B86" s="311" t="s">
        <v>636</v>
      </c>
      <c r="C86" s="311" t="s">
        <v>812</v>
      </c>
      <c r="D86" s="312" t="s">
        <v>813</v>
      </c>
      <c r="E86" s="311" t="s">
        <v>669</v>
      </c>
      <c r="K86" s="85"/>
      <c r="S86" s="85"/>
      <c r="AA86" s="85"/>
      <c r="AI86" s="85"/>
      <c r="AQ86" s="85"/>
    </row>
    <row r="87" spans="2:43" x14ac:dyDescent="0.45">
      <c r="B87" s="310"/>
      <c r="E87" s="310"/>
    </row>
    <row r="88" spans="2:43" x14ac:dyDescent="0.45">
      <c r="B88" s="313" t="s">
        <v>814</v>
      </c>
      <c r="C88" s="313" t="s">
        <v>819</v>
      </c>
      <c r="D88" s="313" t="s">
        <v>815</v>
      </c>
      <c r="E88" s="313" t="s">
        <v>670</v>
      </c>
    </row>
    <row r="89" spans="2:43" x14ac:dyDescent="0.45">
      <c r="B89" s="314" t="s">
        <v>816</v>
      </c>
      <c r="C89" s="315" t="s">
        <v>820</v>
      </c>
      <c r="D89" s="316" t="s">
        <v>817</v>
      </c>
      <c r="E89" s="316" t="s">
        <v>818</v>
      </c>
      <c r="K89" s="86"/>
      <c r="S89" s="86"/>
      <c r="AA89" s="86"/>
      <c r="AI89" s="86"/>
      <c r="AQ89" s="86"/>
    </row>
  </sheetData>
  <mergeCells count="13">
    <mergeCell ref="K20:Q20"/>
    <mergeCell ref="S20:Y20"/>
    <mergeCell ref="B18:H18"/>
    <mergeCell ref="C2:D2"/>
    <mergeCell ref="C3:D3"/>
    <mergeCell ref="C4:D4"/>
    <mergeCell ref="C5:D5"/>
    <mergeCell ref="C6:D6"/>
    <mergeCell ref="AI18:AO18"/>
    <mergeCell ref="AQ18:AW18"/>
    <mergeCell ref="K18:Q18"/>
    <mergeCell ref="S18:Y18"/>
    <mergeCell ref="AA18:AG18"/>
  </mergeCells>
  <conditionalFormatting sqref="C5:D5 C17:D17 L17:M17 T17:U17 AB17:AC17 C7:D7">
    <cfRule type="expression" dxfId="220" priority="31">
      <formula>$C$5=0</formula>
    </cfRule>
  </conditionalFormatting>
  <conditionalFormatting sqref="C2:D2">
    <cfRule type="expression" dxfId="219" priority="30">
      <formula>$C$2=0</formula>
    </cfRule>
  </conditionalFormatting>
  <conditionalFormatting sqref="D9:D10">
    <cfRule type="expression" dxfId="218" priority="29">
      <formula>$D$9=0</formula>
    </cfRule>
  </conditionalFormatting>
  <conditionalFormatting sqref="D14">
    <cfRule type="expression" dxfId="217" priority="28">
      <formula>$D$14=0</formula>
    </cfRule>
  </conditionalFormatting>
  <conditionalFormatting sqref="D15">
    <cfRule type="expression" dxfId="216" priority="27">
      <formula>$D$15=0</formula>
    </cfRule>
  </conditionalFormatting>
  <conditionalFormatting sqref="AC15">
    <cfRule type="expression" dxfId="215" priority="16">
      <formula>$D$15=0</formula>
    </cfRule>
  </conditionalFormatting>
  <conditionalFormatting sqref="L5:M7">
    <cfRule type="expression" dxfId="214" priority="26">
      <formula>$C$5=0</formula>
    </cfRule>
  </conditionalFormatting>
  <conditionalFormatting sqref="L2:M2">
    <cfRule type="expression" dxfId="213" priority="25">
      <formula>$C$2=0</formula>
    </cfRule>
  </conditionalFormatting>
  <conditionalFormatting sqref="T5:U7">
    <cfRule type="expression" dxfId="212" priority="24">
      <formula>$C$5=0</formula>
    </cfRule>
  </conditionalFormatting>
  <conditionalFormatting sqref="T2:U2">
    <cfRule type="expression" dxfId="211" priority="23">
      <formula>$C$2=0</formula>
    </cfRule>
  </conditionalFormatting>
  <conditionalFormatting sqref="U14">
    <cfRule type="expression" dxfId="210" priority="22">
      <formula>$D$14=0</formula>
    </cfRule>
  </conditionalFormatting>
  <conditionalFormatting sqref="U15">
    <cfRule type="expression" dxfId="209" priority="21">
      <formula>$D$15=0</formula>
    </cfRule>
  </conditionalFormatting>
  <conditionalFormatting sqref="AB5:AC7">
    <cfRule type="expression" dxfId="208" priority="20">
      <formula>$C$5=0</formula>
    </cfRule>
  </conditionalFormatting>
  <conditionalFormatting sqref="AB2:AC2">
    <cfRule type="expression" dxfId="207" priority="19">
      <formula>$C$2=0</formula>
    </cfRule>
  </conditionalFormatting>
  <conditionalFormatting sqref="AC9:AC10">
    <cfRule type="expression" dxfId="206" priority="18">
      <formula>$D$9=0</formula>
    </cfRule>
  </conditionalFormatting>
  <conditionalFormatting sqref="AC14">
    <cfRule type="expression" dxfId="205" priority="17">
      <formula>$D$14=0</formula>
    </cfRule>
  </conditionalFormatting>
  <conditionalFormatting sqref="M14">
    <cfRule type="expression" dxfId="204" priority="15">
      <formula>$D$13=0</formula>
    </cfRule>
  </conditionalFormatting>
  <conditionalFormatting sqref="M15">
    <cfRule type="expression" dxfId="203" priority="14">
      <formula>$D$14=0</formula>
    </cfRule>
  </conditionalFormatting>
  <conditionalFormatting sqref="C6:D6">
    <cfRule type="expression" dxfId="202" priority="13">
      <formula>$C$5=0</formula>
    </cfRule>
  </conditionalFormatting>
  <conditionalFormatting sqref="AJ17:AK17">
    <cfRule type="expression" dxfId="201" priority="12">
      <formula>$C$5=0</formula>
    </cfRule>
  </conditionalFormatting>
  <conditionalFormatting sqref="AK15">
    <cfRule type="expression" dxfId="200" priority="7">
      <formula>$D$15=0</formula>
    </cfRule>
  </conditionalFormatting>
  <conditionalFormatting sqref="AJ5:AK7">
    <cfRule type="expression" dxfId="199" priority="11">
      <formula>$C$5=0</formula>
    </cfRule>
  </conditionalFormatting>
  <conditionalFormatting sqref="AJ2:AK2">
    <cfRule type="expression" dxfId="198" priority="10">
      <formula>$C$2=0</formula>
    </cfRule>
  </conditionalFormatting>
  <conditionalFormatting sqref="AK9:AK10">
    <cfRule type="expression" dxfId="197" priority="9">
      <formula>$D$9=0</formula>
    </cfRule>
  </conditionalFormatting>
  <conditionalFormatting sqref="AK14">
    <cfRule type="expression" dxfId="196" priority="8">
      <formula>$D$14=0</formula>
    </cfRule>
  </conditionalFormatting>
  <conditionalFormatting sqref="AR17:AS17">
    <cfRule type="expression" dxfId="195" priority="6">
      <formula>$C$5=0</formula>
    </cfRule>
  </conditionalFormatting>
  <conditionalFormatting sqref="AS15">
    <cfRule type="expression" dxfId="194" priority="1">
      <formula>$D$15=0</formula>
    </cfRule>
  </conditionalFormatting>
  <conditionalFormatting sqref="AR5:AS7">
    <cfRule type="expression" dxfId="193" priority="5">
      <formula>$C$5=0</formula>
    </cfRule>
  </conditionalFormatting>
  <conditionalFormatting sqref="AR2:AS2">
    <cfRule type="expression" dxfId="192" priority="4">
      <formula>$C$2=0</formula>
    </cfRule>
  </conditionalFormatting>
  <conditionalFormatting sqref="AS9:AS10">
    <cfRule type="expression" dxfId="191" priority="3">
      <formula>$D$9=0</formula>
    </cfRule>
  </conditionalFormatting>
  <conditionalFormatting sqref="AS14">
    <cfRule type="expression" dxfId="190" priority="2">
      <formula>$D$14=0</formula>
    </cfRule>
  </conditionalFormatting>
  <pageMargins left="0.7" right="0.7" top="0.75" bottom="0.75" header="0.3" footer="0.3"/>
  <pageSetup paperSize="8" scale="1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1:AG87"/>
  <sheetViews>
    <sheetView showGridLines="0" view="pageBreakPreview" zoomScale="46" zoomScaleNormal="100" zoomScaleSheetLayoutView="46" workbookViewId="0">
      <selection activeCell="AG76" sqref="AG76"/>
    </sheetView>
  </sheetViews>
  <sheetFormatPr defaultColWidth="8.81640625" defaultRowHeight="18.5" outlineLevelCol="1" x14ac:dyDescent="0.45"/>
  <cols>
    <col min="1" max="1" width="3" style="8" customWidth="1"/>
    <col min="2" max="2" width="28.26953125" style="242" bestFit="1" customWidth="1"/>
    <col min="3" max="3" width="31.26953125" style="8" bestFit="1" customWidth="1"/>
    <col min="4" max="8" width="25.7265625" style="8" customWidth="1"/>
    <col min="9" max="9" width="19.1796875" style="289" bestFit="1" customWidth="1"/>
    <col min="10" max="10" width="10.54296875" style="289" bestFit="1" customWidth="1"/>
    <col min="11" max="11" width="25.7265625" style="242" customWidth="1" outlineLevel="1"/>
    <col min="12" max="17" width="25.7265625" style="8" customWidth="1" outlineLevel="1"/>
    <col min="18" max="18" width="9.1796875" style="8" customWidth="1"/>
    <col min="19" max="19" width="25.7265625" style="242" customWidth="1" outlineLevel="1"/>
    <col min="20" max="25" width="25.7265625" style="8" customWidth="1" outlineLevel="1"/>
    <col min="26" max="26" width="9.1796875" style="8" customWidth="1"/>
    <col min="27" max="27" width="25.7265625" style="242" customWidth="1" outlineLevel="1"/>
    <col min="28" max="33" width="25.7265625" style="8" customWidth="1" outlineLevel="1"/>
    <col min="34" max="34" width="9.1796875" style="8" customWidth="1"/>
    <col min="35" max="16384" width="8.81640625" style="8"/>
  </cols>
  <sheetData>
    <row r="1" spans="2:33" x14ac:dyDescent="0.45">
      <c r="K1" s="68"/>
      <c r="L1" s="38"/>
      <c r="M1" s="38"/>
      <c r="N1" s="38"/>
      <c r="O1" s="38"/>
      <c r="P1" s="38"/>
      <c r="Q1" s="38"/>
      <c r="R1" s="38"/>
      <c r="S1" s="68"/>
      <c r="T1" s="38"/>
      <c r="U1" s="38"/>
      <c r="V1" s="38"/>
      <c r="W1" s="38"/>
      <c r="X1" s="38"/>
      <c r="Y1" s="38"/>
      <c r="Z1" s="38"/>
      <c r="AA1" s="68"/>
      <c r="AB1" s="38"/>
      <c r="AC1" s="38"/>
      <c r="AD1" s="38"/>
      <c r="AE1" s="38"/>
      <c r="AF1" s="38"/>
      <c r="AG1" s="38"/>
    </row>
    <row r="2" spans="2:33" x14ac:dyDescent="0.45">
      <c r="B2" s="84" t="s">
        <v>0</v>
      </c>
      <c r="C2" s="505">
        <f>Input!D4</f>
        <v>0</v>
      </c>
      <c r="D2" s="505"/>
      <c r="K2" s="68"/>
      <c r="L2" s="89"/>
      <c r="M2" s="89"/>
      <c r="N2" s="38"/>
      <c r="O2" s="38"/>
      <c r="P2" s="38"/>
      <c r="Q2" s="38"/>
      <c r="R2" s="38"/>
      <c r="S2" s="68"/>
      <c r="T2" s="89"/>
      <c r="U2" s="89"/>
      <c r="V2" s="38"/>
      <c r="W2" s="38"/>
      <c r="X2" s="38"/>
      <c r="Y2" s="38"/>
      <c r="Z2" s="38"/>
      <c r="AA2" s="68"/>
      <c r="AB2" s="89"/>
      <c r="AC2" s="89"/>
      <c r="AD2" s="38"/>
      <c r="AE2" s="38"/>
      <c r="AF2" s="38"/>
      <c r="AG2" s="38"/>
    </row>
    <row r="3" spans="2:33" x14ac:dyDescent="0.45">
      <c r="B3" s="84" t="s">
        <v>3</v>
      </c>
      <c r="C3" s="506" t="str">
        <f>Input!D7</f>
        <v>The Arborage</v>
      </c>
      <c r="D3" s="506"/>
      <c r="K3" s="68"/>
      <c r="L3" s="89"/>
      <c r="M3" s="89"/>
      <c r="N3" s="38"/>
      <c r="O3" s="38"/>
      <c r="P3" s="38"/>
      <c r="Q3" s="38"/>
      <c r="R3" s="38"/>
      <c r="S3" s="68"/>
      <c r="T3" s="89"/>
      <c r="U3" s="89"/>
      <c r="V3" s="38"/>
      <c r="W3" s="38"/>
      <c r="X3" s="38"/>
      <c r="Y3" s="38"/>
      <c r="Z3" s="38"/>
      <c r="AA3" s="68"/>
      <c r="AB3" s="89"/>
      <c r="AC3" s="89"/>
      <c r="AD3" s="38"/>
      <c r="AE3" s="38"/>
      <c r="AF3" s="38"/>
      <c r="AG3" s="38"/>
    </row>
    <row r="4" spans="2:33" x14ac:dyDescent="0.45">
      <c r="B4" s="84" t="s">
        <v>780</v>
      </c>
      <c r="C4" s="507" t="str">
        <f>Input!D8</f>
        <v>B-B2-L10</v>
      </c>
      <c r="D4" s="507"/>
      <c r="K4" s="68"/>
      <c r="L4" s="90"/>
      <c r="M4" s="90"/>
      <c r="N4" s="38"/>
      <c r="O4" s="38"/>
      <c r="P4" s="38"/>
      <c r="Q4" s="38"/>
      <c r="R4" s="38"/>
      <c r="S4" s="68"/>
      <c r="T4" s="90"/>
      <c r="U4" s="90"/>
      <c r="V4" s="38"/>
      <c r="W4" s="38"/>
      <c r="X4" s="38"/>
      <c r="Y4" s="38"/>
      <c r="Z4" s="38"/>
      <c r="AA4" s="68"/>
      <c r="AB4" s="90"/>
      <c r="AC4" s="90"/>
      <c r="AD4" s="38"/>
      <c r="AE4" s="38"/>
      <c r="AF4" s="38"/>
      <c r="AG4" s="38"/>
    </row>
    <row r="5" spans="2:33" x14ac:dyDescent="0.45">
      <c r="B5" s="84" t="s">
        <v>247</v>
      </c>
      <c r="C5" s="508" t="str">
        <f>Input!D9</f>
        <v>Lot</v>
      </c>
      <c r="D5" s="508"/>
      <c r="K5" s="68"/>
      <c r="L5" s="91"/>
      <c r="M5" s="91"/>
      <c r="N5" s="38"/>
      <c r="O5" s="38"/>
      <c r="P5" s="38"/>
      <c r="Q5" s="38"/>
      <c r="R5" s="38"/>
      <c r="S5" s="68"/>
      <c r="T5" s="91"/>
      <c r="U5" s="91"/>
      <c r="V5" s="38"/>
      <c r="W5" s="38"/>
      <c r="X5" s="38"/>
      <c r="Y5" s="38"/>
      <c r="Z5" s="38"/>
      <c r="AA5" s="68"/>
      <c r="AB5" s="91"/>
      <c r="AC5" s="91"/>
      <c r="AD5" s="38"/>
      <c r="AE5" s="38"/>
      <c r="AF5" s="38"/>
      <c r="AG5" s="38"/>
    </row>
    <row r="6" spans="2:33" x14ac:dyDescent="0.45">
      <c r="B6" s="84" t="s">
        <v>619</v>
      </c>
      <c r="C6" s="509">
        <f>D8*1.16</f>
        <v>6543680.6399999997</v>
      </c>
      <c r="D6" s="509"/>
      <c r="K6" s="68"/>
      <c r="L6" s="65"/>
      <c r="M6" s="65"/>
      <c r="N6" s="38"/>
      <c r="O6" s="38"/>
      <c r="P6" s="38"/>
      <c r="Q6" s="38"/>
      <c r="R6" s="38"/>
      <c r="S6" s="68"/>
      <c r="T6" s="65"/>
      <c r="U6" s="65"/>
      <c r="V6" s="38"/>
      <c r="W6" s="38"/>
      <c r="X6" s="38"/>
      <c r="Y6" s="38"/>
      <c r="Z6" s="38"/>
      <c r="AA6" s="68"/>
      <c r="AB6" s="65"/>
      <c r="AC6" s="65"/>
      <c r="AD6" s="38"/>
      <c r="AE6" s="38"/>
      <c r="AF6" s="38"/>
      <c r="AG6" s="38"/>
    </row>
    <row r="7" spans="2:33" ht="19" thickBot="1" x14ac:dyDescent="0.5">
      <c r="B7" s="288"/>
      <c r="C7" s="65"/>
      <c r="D7" s="65"/>
      <c r="K7" s="68"/>
      <c r="L7" s="65"/>
      <c r="M7" s="65"/>
      <c r="N7" s="38"/>
      <c r="O7" s="38"/>
      <c r="P7" s="38"/>
      <c r="Q7" s="38"/>
      <c r="R7" s="38"/>
      <c r="S7" s="68"/>
      <c r="T7" s="65"/>
      <c r="U7" s="65"/>
      <c r="V7" s="38"/>
      <c r="W7" s="38"/>
      <c r="X7" s="38"/>
      <c r="Y7" s="38"/>
      <c r="Z7" s="38"/>
      <c r="AA7" s="68"/>
      <c r="AB7" s="65"/>
      <c r="AC7" s="65"/>
      <c r="AD7" s="38"/>
      <c r="AE7" s="38"/>
      <c r="AF7" s="38"/>
      <c r="AG7" s="38"/>
    </row>
    <row r="8" spans="2:33" x14ac:dyDescent="0.45">
      <c r="B8" s="77" t="str">
        <f>'Summary - All Clusters'!C56</f>
        <v>Total List Price</v>
      </c>
      <c r="C8" s="78"/>
      <c r="D8" s="79">
        <f>Input!D12</f>
        <v>5641104</v>
      </c>
      <c r="K8" s="77" t="str">
        <f>'Cash 30'!B6</f>
        <v>Total List Price:</v>
      </c>
      <c r="L8" s="78"/>
      <c r="M8" s="79">
        <f>D8</f>
        <v>5641104</v>
      </c>
      <c r="N8" s="38"/>
      <c r="O8" s="38"/>
      <c r="P8" s="38"/>
      <c r="Q8" s="38"/>
      <c r="R8" s="38"/>
      <c r="S8" s="77" t="str">
        <f>'30-70 (30)'!B6</f>
        <v>Total List Price</v>
      </c>
      <c r="T8" s="78"/>
      <c r="U8" s="79">
        <f>'30-70 (30)'!D6</f>
        <v>5641104</v>
      </c>
      <c r="V8" s="38"/>
      <c r="W8" s="38"/>
      <c r="X8" s="38"/>
      <c r="Y8" s="38"/>
      <c r="Z8" s="38"/>
      <c r="AA8" s="77" t="str">
        <f>S8</f>
        <v>Total List Price</v>
      </c>
      <c r="AB8" s="78"/>
      <c r="AC8" s="79">
        <f>U8</f>
        <v>5641104</v>
      </c>
      <c r="AD8" s="38"/>
      <c r="AE8" s="38"/>
      <c r="AF8" s="38"/>
      <c r="AG8" s="38"/>
    </row>
    <row r="9" spans="2:33" x14ac:dyDescent="0.45">
      <c r="B9" s="128" t="s">
        <v>665</v>
      </c>
      <c r="C9" s="147"/>
      <c r="D9" s="143">
        <f>C9*D8</f>
        <v>0</v>
      </c>
      <c r="E9" s="15">
        <v>0</v>
      </c>
      <c r="K9" s="128" t="str">
        <f>'Cash 30'!B7</f>
        <v>Less 9% Discount:</v>
      </c>
      <c r="L9" s="129"/>
      <c r="M9" s="130">
        <f>M8*9%</f>
        <v>507699.36</v>
      </c>
      <c r="N9" s="88"/>
      <c r="O9" s="38"/>
      <c r="P9" s="38"/>
      <c r="Q9" s="38"/>
      <c r="R9" s="38"/>
      <c r="S9" s="128"/>
      <c r="T9" s="129"/>
      <c r="U9" s="130"/>
      <c r="V9" s="88"/>
      <c r="W9" s="38"/>
      <c r="X9" s="38"/>
      <c r="Y9" s="38"/>
      <c r="Z9" s="38"/>
      <c r="AA9" s="141"/>
      <c r="AB9" s="142"/>
      <c r="AC9" s="143" t="e">
        <f>IF(Input!$D$7="Prominence II",'10-10-80'!#REF!,IF(Input!$D$7="Arborage A",'20-40-40'!D8,'25-25-50'!#REF!))</f>
        <v>#REF!</v>
      </c>
      <c r="AD9" s="88"/>
      <c r="AE9" s="38"/>
      <c r="AF9" s="38"/>
      <c r="AG9" s="38"/>
    </row>
    <row r="10" spans="2:33" x14ac:dyDescent="0.45">
      <c r="B10" s="135"/>
      <c r="C10" s="136"/>
      <c r="D10" s="137"/>
      <c r="K10" s="28"/>
      <c r="L10" s="38"/>
      <c r="M10" s="101"/>
      <c r="N10" s="38"/>
      <c r="O10" s="38"/>
      <c r="P10" s="38"/>
      <c r="Q10" s="38"/>
      <c r="R10" s="38"/>
      <c r="S10" s="31"/>
      <c r="T10" s="39"/>
      <c r="U10" s="35"/>
      <c r="V10" s="38"/>
      <c r="W10" s="38"/>
      <c r="X10" s="38"/>
      <c r="Y10" s="38"/>
      <c r="Z10" s="38"/>
      <c r="AA10" s="31"/>
      <c r="AB10" s="39"/>
      <c r="AC10" s="35"/>
      <c r="AD10" s="38"/>
      <c r="AE10" s="38"/>
      <c r="AF10" s="38"/>
      <c r="AG10" s="38"/>
    </row>
    <row r="11" spans="2:33" x14ac:dyDescent="0.45">
      <c r="B11" s="32" t="str">
        <f>'Summary - All Clusters'!C60</f>
        <v>Net List Price:</v>
      </c>
      <c r="C11" s="40"/>
      <c r="D11" s="36">
        <f>D8-D9-D10</f>
        <v>5641104</v>
      </c>
      <c r="K11" s="32" t="str">
        <f>'Cash 30'!B8</f>
        <v>Sub-total:</v>
      </c>
      <c r="L11" s="40"/>
      <c r="M11" s="36">
        <f>M8-M9</f>
        <v>5133404.6399999997</v>
      </c>
      <c r="N11" s="38"/>
      <c r="O11" s="38"/>
      <c r="P11" s="38"/>
      <c r="Q11" s="38"/>
      <c r="R11" s="38"/>
      <c r="S11" s="32" t="str">
        <f>'30-70 (30)'!B8</f>
        <v>Net List Price:</v>
      </c>
      <c r="T11" s="40"/>
      <c r="U11" s="36">
        <f>U8</f>
        <v>5641104</v>
      </c>
      <c r="V11" s="38"/>
      <c r="W11" s="38"/>
      <c r="X11" s="38"/>
      <c r="Y11" s="38"/>
      <c r="Z11" s="38"/>
      <c r="AA11" s="32" t="str">
        <f>IF(Input!$D$7="Prominence II",'10-10-80'!B7,IF(Input!$D$7="Arborage A",'20-40-40'!B11,'25-25-50'!B6))</f>
        <v>Net List Price:</v>
      </c>
      <c r="AB11" s="40"/>
      <c r="AC11" s="36">
        <f>AC8</f>
        <v>5641104</v>
      </c>
      <c r="AD11" s="38"/>
      <c r="AE11" s="38"/>
      <c r="AF11" s="38"/>
      <c r="AG11" s="38"/>
    </row>
    <row r="12" spans="2:33" x14ac:dyDescent="0.45">
      <c r="B12" s="28" t="str">
        <f>'Summary - All Clusters'!C61</f>
        <v>Add VAT:</v>
      </c>
      <c r="C12" s="38"/>
      <c r="D12" s="80">
        <f>E12*D11</f>
        <v>676932.48</v>
      </c>
      <c r="E12" s="15">
        <v>0.12</v>
      </c>
      <c r="K12" s="28" t="str">
        <f>'Cash 30'!B11</f>
        <v>Add VAT:</v>
      </c>
      <c r="L12" s="38"/>
      <c r="M12" s="34">
        <f>M11*12%</f>
        <v>616008.5567999999</v>
      </c>
      <c r="N12" s="88"/>
      <c r="O12" s="38"/>
      <c r="P12" s="38"/>
      <c r="Q12" s="38"/>
      <c r="R12" s="38"/>
      <c r="S12" s="28" t="str">
        <f>'30-70 (30)'!B9</f>
        <v>Add VAT:</v>
      </c>
      <c r="T12" s="38"/>
      <c r="U12" s="80">
        <f>U11*12%</f>
        <v>676932.48</v>
      </c>
      <c r="V12" s="88"/>
      <c r="W12" s="38"/>
      <c r="X12" s="38"/>
      <c r="Y12" s="38"/>
      <c r="Z12" s="38"/>
      <c r="AA12" s="28" t="str">
        <f>IF(Input!$D$7="Prominence II",'10-10-80'!B8,IF(Input!$D$7="Arborage A",'20-40-40'!B12,'25-25-50'!B7))</f>
        <v>Add VAT:</v>
      </c>
      <c r="AB12" s="38"/>
      <c r="AC12" s="80">
        <f>AC11*12%</f>
        <v>676932.48</v>
      </c>
      <c r="AD12" s="88"/>
      <c r="AE12" s="38"/>
      <c r="AF12" s="38"/>
      <c r="AG12" s="38"/>
    </row>
    <row r="13" spans="2:33" x14ac:dyDescent="0.45">
      <c r="B13" s="28" t="str">
        <f>'Summary - All Clusters'!C62</f>
        <v>Add Other Charges:</v>
      </c>
      <c r="C13" s="38"/>
      <c r="D13" s="80">
        <f>D16+D15-D14-D12-D11</f>
        <v>225663.51999999955</v>
      </c>
      <c r="K13" s="28" t="str">
        <f>'Cash 30'!B12</f>
        <v>Add Other Charges:</v>
      </c>
      <c r="L13" s="38"/>
      <c r="M13" s="34">
        <f>M11*4%</f>
        <v>205336.1856</v>
      </c>
      <c r="N13" s="38"/>
      <c r="O13" s="38"/>
      <c r="P13" s="38"/>
      <c r="Q13" s="38"/>
      <c r="R13" s="38"/>
      <c r="S13" s="28" t="str">
        <f>'30-70 (30)'!B10</f>
        <v>Add Other Charges:</v>
      </c>
      <c r="T13" s="38"/>
      <c r="U13" s="80">
        <f>U11*4%</f>
        <v>225644.16</v>
      </c>
      <c r="V13" s="38"/>
      <c r="W13" s="38"/>
      <c r="X13" s="38"/>
      <c r="Y13" s="38"/>
      <c r="Z13" s="38"/>
      <c r="AA13" s="28" t="str">
        <f>IF(Input!$D$7="Prominence II",'10-10-80'!B9,IF(Input!$D$7="Arborage A",'20-40-40'!B13,'25-25-50'!B8))</f>
        <v>Add Other Charges:</v>
      </c>
      <c r="AB13" s="38"/>
      <c r="AC13" s="80">
        <f>AC11*4%</f>
        <v>225644.16</v>
      </c>
      <c r="AD13" s="38"/>
      <c r="AE13" s="38"/>
      <c r="AF13" s="38"/>
      <c r="AG13" s="38"/>
    </row>
    <row r="14" spans="2:33" hidden="1" x14ac:dyDescent="0.45">
      <c r="B14" s="28" t="str">
        <f>'Summary - All Clusters'!C63</f>
        <v/>
      </c>
      <c r="C14" s="38"/>
      <c r="D14" s="34">
        <f>'Summary - All Clusters'!E63</f>
        <v>0</v>
      </c>
      <c r="K14" s="28" t="str">
        <f>B14</f>
        <v/>
      </c>
      <c r="L14" s="38"/>
      <c r="M14" s="34">
        <f>D14</f>
        <v>0</v>
      </c>
      <c r="N14" s="38"/>
      <c r="O14" s="38"/>
      <c r="P14" s="38"/>
      <c r="Q14" s="38"/>
      <c r="R14" s="38"/>
      <c r="S14" s="28" t="str">
        <f>K14</f>
        <v/>
      </c>
      <c r="T14" s="38"/>
      <c r="U14" s="34">
        <f>M14</f>
        <v>0</v>
      </c>
      <c r="V14" s="38"/>
      <c r="W14" s="38"/>
      <c r="X14" s="38"/>
      <c r="Y14" s="38"/>
      <c r="Z14" s="38"/>
      <c r="AA14" s="28" t="str">
        <f>IF(Input!$D$7="Prominence II",'10-10-80'!B10,IF(Input!$D$7="Arborage A",'20-40-40'!B14,'25-25-50'!B9))</f>
        <v/>
      </c>
      <c r="AB14" s="38"/>
      <c r="AC14" s="34">
        <f>U14</f>
        <v>0</v>
      </c>
      <c r="AD14" s="38"/>
      <c r="AE14" s="38"/>
      <c r="AF14" s="38"/>
      <c r="AG14" s="38"/>
    </row>
    <row r="15" spans="2:33" hidden="1" x14ac:dyDescent="0.45">
      <c r="B15" s="128" t="str">
        <f>'Summary - All Clusters'!C64</f>
        <v/>
      </c>
      <c r="C15" s="129"/>
      <c r="D15" s="132">
        <f>'Summary - All Clusters'!E64</f>
        <v>0</v>
      </c>
      <c r="K15" s="128" t="str">
        <f>B15</f>
        <v/>
      </c>
      <c r="L15" s="129"/>
      <c r="M15" s="130">
        <f>D15</f>
        <v>0</v>
      </c>
      <c r="N15" s="38"/>
      <c r="O15" s="38"/>
      <c r="P15" s="38"/>
      <c r="Q15" s="38"/>
      <c r="R15" s="38"/>
      <c r="S15" s="128" t="str">
        <f>K15</f>
        <v/>
      </c>
      <c r="T15" s="129"/>
      <c r="U15" s="132">
        <f>M15</f>
        <v>0</v>
      </c>
      <c r="V15" s="38"/>
      <c r="W15" s="38"/>
      <c r="X15" s="38"/>
      <c r="Y15" s="38"/>
      <c r="Z15" s="38"/>
      <c r="AA15" s="128" t="str">
        <f>IF(Input!$D$7="Prominence II",'10-10-80'!B11,IF(Input!$D$7="Arborage A",'20-40-40'!B15,'25-25-50'!B10))</f>
        <v/>
      </c>
      <c r="AB15" s="129"/>
      <c r="AC15" s="132">
        <f>U15</f>
        <v>0</v>
      </c>
      <c r="AD15" s="38"/>
      <c r="AE15" s="38"/>
      <c r="AF15" s="38"/>
      <c r="AG15" s="38"/>
    </row>
    <row r="16" spans="2:33" ht="19" thickBot="1" x14ac:dyDescent="0.5">
      <c r="B16" s="33" t="str">
        <f>'Summary - All Clusters'!C66</f>
        <v>Total Contract Price:</v>
      </c>
      <c r="C16" s="41"/>
      <c r="D16" s="81">
        <f>ROUND((D11*1.16)+D14-D15,-2)</f>
        <v>6543700</v>
      </c>
      <c r="K16" s="33" t="str">
        <f>B16</f>
        <v>Total Contract Price:</v>
      </c>
      <c r="L16" s="41"/>
      <c r="M16" s="37">
        <f>ROUND(M11+M12+M13+M14-M15,-2)</f>
        <v>5954700</v>
      </c>
      <c r="N16" s="38"/>
      <c r="O16" s="38"/>
      <c r="P16" s="38"/>
      <c r="Q16" s="38"/>
      <c r="R16" s="38"/>
      <c r="S16" s="33" t="str">
        <f>'30-70 (30)'!B13</f>
        <v>Total Contract Price:</v>
      </c>
      <c r="T16" s="41"/>
      <c r="U16" s="81">
        <f>ROUND(U11+U12+U13+U14-U15,-2)</f>
        <v>6543700</v>
      </c>
      <c r="V16" s="245"/>
      <c r="W16" s="38"/>
      <c r="X16" s="38"/>
      <c r="Y16" s="38"/>
      <c r="Z16" s="38"/>
      <c r="AA16" s="33" t="str">
        <f>IF(Input!$D$7="Prominence II",'10-10-80'!B12,IF(Input!$D$7="Arborage A",'20-40-40'!B16,'25-25-50'!B11))</f>
        <v>Total Contract Price:</v>
      </c>
      <c r="AB16" s="41"/>
      <c r="AC16" s="81">
        <f>ROUND(AC11+AC12+AC13+AC14-AC15,-2)</f>
        <v>6543700</v>
      </c>
      <c r="AD16" s="38"/>
      <c r="AE16" s="38"/>
      <c r="AF16" s="38"/>
      <c r="AG16" s="38"/>
    </row>
    <row r="17" spans="2:33" x14ac:dyDescent="0.45">
      <c r="B17" s="68"/>
      <c r="C17" s="65"/>
      <c r="D17" s="65"/>
      <c r="K17" s="68"/>
      <c r="L17" s="65"/>
      <c r="M17" s="65"/>
      <c r="S17" s="68"/>
      <c r="T17" s="65"/>
      <c r="U17" s="65"/>
      <c r="AA17" s="68"/>
      <c r="AB17" s="65"/>
      <c r="AC17" s="65"/>
    </row>
    <row r="18" spans="2:33" x14ac:dyDescent="0.45">
      <c r="B18" s="498" t="s">
        <v>666</v>
      </c>
      <c r="C18" s="499"/>
      <c r="D18" s="499"/>
      <c r="E18" s="499"/>
      <c r="F18" s="499"/>
      <c r="G18" s="499"/>
      <c r="H18" s="500"/>
      <c r="K18" s="498" t="s">
        <v>772</v>
      </c>
      <c r="L18" s="499"/>
      <c r="M18" s="499"/>
      <c r="N18" s="499"/>
      <c r="O18" s="499"/>
      <c r="P18" s="499"/>
      <c r="Q18" s="500"/>
      <c r="S18" s="498" t="s">
        <v>776</v>
      </c>
      <c r="T18" s="499"/>
      <c r="U18" s="499"/>
      <c r="V18" s="499"/>
      <c r="W18" s="499"/>
      <c r="X18" s="499"/>
      <c r="Y18" s="500"/>
      <c r="AA18" s="498" t="s">
        <v>767</v>
      </c>
      <c r="AB18" s="499"/>
      <c r="AC18" s="499"/>
      <c r="AD18" s="499"/>
      <c r="AE18" s="499"/>
      <c r="AF18" s="499"/>
      <c r="AG18" s="500"/>
    </row>
    <row r="19" spans="2:33" x14ac:dyDescent="0.45">
      <c r="B19" s="66"/>
      <c r="C19" s="67"/>
      <c r="D19" s="67"/>
      <c r="E19" s="67"/>
      <c r="F19" s="67"/>
      <c r="G19" s="68"/>
      <c r="H19" s="69"/>
      <c r="K19" s="66"/>
      <c r="L19" s="67"/>
      <c r="M19" s="67"/>
      <c r="N19" s="67"/>
      <c r="O19" s="67"/>
      <c r="P19" s="68"/>
      <c r="Q19" s="69"/>
      <c r="S19" s="66"/>
      <c r="T19" s="67"/>
      <c r="U19" s="67"/>
      <c r="V19" s="67"/>
      <c r="W19" s="67"/>
      <c r="X19" s="68"/>
      <c r="Y19" s="69"/>
      <c r="AA19" s="66"/>
      <c r="AB19" s="67"/>
      <c r="AC19" s="67"/>
      <c r="AD19" s="67"/>
      <c r="AE19" s="67"/>
      <c r="AF19" s="68"/>
      <c r="AG19" s="69"/>
    </row>
    <row r="20" spans="2:33" x14ac:dyDescent="0.45">
      <c r="B20" s="66"/>
      <c r="C20" s="155"/>
      <c r="D20" s="155" t="s">
        <v>624</v>
      </c>
      <c r="E20" s="155" t="s">
        <v>627</v>
      </c>
      <c r="F20" s="155" t="s">
        <v>626</v>
      </c>
      <c r="G20" s="68"/>
      <c r="H20" s="69"/>
      <c r="K20" s="501" t="s">
        <v>771</v>
      </c>
      <c r="L20" s="502"/>
      <c r="M20" s="502"/>
      <c r="N20" s="502"/>
      <c r="O20" s="502"/>
      <c r="P20" s="502"/>
      <c r="Q20" s="503"/>
      <c r="S20" s="504" t="s">
        <v>775</v>
      </c>
      <c r="T20" s="502"/>
      <c r="U20" s="502"/>
      <c r="V20" s="502"/>
      <c r="W20" s="502"/>
      <c r="X20" s="502"/>
      <c r="Y20" s="503"/>
      <c r="AA20" s="96"/>
      <c r="AB20" s="97"/>
      <c r="AC20" s="94">
        <v>0.1</v>
      </c>
      <c r="AD20" s="100" t="s">
        <v>768</v>
      </c>
      <c r="AE20" s="97"/>
      <c r="AF20" s="97"/>
      <c r="AG20" s="98"/>
    </row>
    <row r="21" spans="2:33" x14ac:dyDescent="0.45">
      <c r="B21" s="66"/>
      <c r="C21" s="156" t="s">
        <v>749</v>
      </c>
      <c r="D21" s="157"/>
      <c r="E21" s="158"/>
      <c r="F21" s="155"/>
      <c r="G21" s="38"/>
      <c r="H21" s="70"/>
      <c r="K21" s="66"/>
      <c r="L21" s="93"/>
      <c r="M21" s="94"/>
      <c r="N21" s="95"/>
      <c r="O21" s="240"/>
      <c r="P21" s="38"/>
      <c r="Q21" s="70"/>
      <c r="S21" s="66"/>
      <c r="T21" s="93"/>
      <c r="U21" s="94"/>
      <c r="V21" s="95"/>
      <c r="W21" s="240"/>
      <c r="X21" s="38"/>
      <c r="Y21" s="70"/>
      <c r="AA21" s="66"/>
      <c r="AB21" s="93"/>
      <c r="AC21" s="94">
        <v>0.4</v>
      </c>
      <c r="AD21" s="99" t="s">
        <v>769</v>
      </c>
      <c r="AE21" s="240"/>
      <c r="AF21" s="38"/>
      <c r="AG21" s="70"/>
    </row>
    <row r="22" spans="2:33" x14ac:dyDescent="0.45">
      <c r="B22" s="66"/>
      <c r="C22" s="156" t="s">
        <v>630</v>
      </c>
      <c r="D22" s="157"/>
      <c r="E22" s="158"/>
      <c r="F22" s="155"/>
      <c r="G22" s="38"/>
      <c r="H22" s="70"/>
      <c r="K22" s="66"/>
      <c r="L22" s="93"/>
      <c r="M22" s="94"/>
      <c r="N22" s="93"/>
      <c r="O22" s="240"/>
      <c r="P22" s="38"/>
      <c r="Q22" s="70"/>
      <c r="S22" s="66"/>
      <c r="T22" s="93"/>
      <c r="U22" s="94"/>
      <c r="V22" s="93"/>
      <c r="W22" s="240"/>
      <c r="X22" s="38"/>
      <c r="Y22" s="70"/>
      <c r="AA22" s="66"/>
      <c r="AB22" s="93"/>
      <c r="AC22" s="94">
        <v>0.5</v>
      </c>
      <c r="AD22" s="99" t="s">
        <v>770</v>
      </c>
      <c r="AE22" s="240"/>
      <c r="AF22" s="38"/>
      <c r="AG22" s="70"/>
    </row>
    <row r="23" spans="2:33" x14ac:dyDescent="0.45">
      <c r="B23" s="66"/>
      <c r="C23" s="227"/>
      <c r="D23" s="228"/>
      <c r="E23" s="229"/>
      <c r="F23" s="230"/>
      <c r="G23" s="38"/>
      <c r="H23" s="70"/>
      <c r="K23" s="66"/>
      <c r="L23" s="93"/>
      <c r="M23" s="94"/>
      <c r="N23" s="93"/>
      <c r="O23" s="240"/>
      <c r="P23" s="38"/>
      <c r="Q23" s="70"/>
      <c r="S23" s="66"/>
      <c r="T23" s="93"/>
      <c r="U23" s="94"/>
      <c r="V23" s="93"/>
      <c r="W23" s="240"/>
      <c r="X23" s="38"/>
      <c r="Y23" s="70"/>
      <c r="AA23" s="66"/>
      <c r="AB23" s="93"/>
      <c r="AC23" s="94"/>
      <c r="AD23" s="93"/>
      <c r="AE23" s="240"/>
      <c r="AF23" s="38"/>
      <c r="AG23" s="70"/>
    </row>
    <row r="24" spans="2:33" x14ac:dyDescent="0.45">
      <c r="B24" s="66"/>
      <c r="C24" s="93"/>
      <c r="D24" s="224">
        <f>SUM(D21:D23)</f>
        <v>0</v>
      </c>
      <c r="E24" s="95"/>
      <c r="F24" s="240"/>
      <c r="G24" s="38"/>
      <c r="H24" s="70"/>
      <c r="K24" s="66"/>
      <c r="L24" s="93"/>
      <c r="M24" s="94"/>
      <c r="N24" s="95"/>
      <c r="O24" s="240"/>
      <c r="P24" s="38"/>
      <c r="Q24" s="70"/>
      <c r="S24" s="66"/>
      <c r="T24" s="93"/>
      <c r="U24" s="94"/>
      <c r="V24" s="95"/>
      <c r="W24" s="240"/>
      <c r="X24" s="38"/>
      <c r="Y24" s="70"/>
      <c r="AA24" s="66"/>
      <c r="AB24" s="93"/>
      <c r="AC24" s="94"/>
      <c r="AD24" s="95"/>
      <c r="AE24" s="240"/>
      <c r="AF24" s="38"/>
      <c r="AG24" s="70"/>
    </row>
    <row r="25" spans="2:33" x14ac:dyDescent="0.45">
      <c r="B25" s="71"/>
      <c r="C25" s="239"/>
      <c r="D25" s="239"/>
      <c r="E25" s="239"/>
      <c r="F25" s="239"/>
      <c r="G25" s="239"/>
      <c r="H25" s="72"/>
      <c r="K25" s="71"/>
      <c r="L25" s="239"/>
      <c r="M25" s="239"/>
      <c r="N25" s="239"/>
      <c r="O25" s="239"/>
      <c r="P25" s="239"/>
      <c r="Q25" s="72"/>
      <c r="S25" s="71"/>
      <c r="T25" s="239"/>
      <c r="U25" s="239"/>
      <c r="V25" s="239"/>
      <c r="W25" s="239"/>
      <c r="X25" s="239"/>
      <c r="Y25" s="72"/>
      <c r="AA25" s="71"/>
      <c r="AB25" s="239"/>
      <c r="AC25" s="239"/>
      <c r="AD25" s="239"/>
      <c r="AE25" s="239"/>
      <c r="AF25" s="239"/>
      <c r="AG25" s="72"/>
    </row>
    <row r="26" spans="2:33" x14ac:dyDescent="0.45">
      <c r="B26" s="75" t="s">
        <v>628</v>
      </c>
      <c r="C26" s="75" t="s">
        <v>600</v>
      </c>
      <c r="D26" s="75" t="s">
        <v>629</v>
      </c>
      <c r="E26" s="75" t="s">
        <v>749</v>
      </c>
      <c r="F26" s="75" t="s">
        <v>630</v>
      </c>
      <c r="G26" s="75" t="s">
        <v>625</v>
      </c>
      <c r="H26" s="75" t="s">
        <v>632</v>
      </c>
      <c r="K26" s="75" t="s">
        <v>628</v>
      </c>
      <c r="L26" s="75" t="s">
        <v>600</v>
      </c>
      <c r="M26" s="75" t="s">
        <v>629</v>
      </c>
      <c r="N26" s="75" t="s">
        <v>634</v>
      </c>
      <c r="O26" s="75" t="s">
        <v>630</v>
      </c>
      <c r="P26" s="75" t="s">
        <v>631</v>
      </c>
      <c r="Q26" s="75" t="s">
        <v>632</v>
      </c>
      <c r="S26" s="75" t="s">
        <v>628</v>
      </c>
      <c r="T26" s="75" t="s">
        <v>600</v>
      </c>
      <c r="U26" s="75" t="s">
        <v>629</v>
      </c>
      <c r="V26" s="75" t="s">
        <v>634</v>
      </c>
      <c r="W26" s="75" t="s">
        <v>630</v>
      </c>
      <c r="X26" s="75" t="s">
        <v>631</v>
      </c>
      <c r="Y26" s="75" t="s">
        <v>632</v>
      </c>
      <c r="AA26" s="75" t="s">
        <v>628</v>
      </c>
      <c r="AB26" s="75" t="s">
        <v>600</v>
      </c>
      <c r="AC26" s="75" t="s">
        <v>629</v>
      </c>
      <c r="AD26" s="75" t="s">
        <v>634</v>
      </c>
      <c r="AE26" s="75" t="s">
        <v>630</v>
      </c>
      <c r="AF26" s="75" t="s">
        <v>631</v>
      </c>
      <c r="AG26" s="75" t="s">
        <v>632</v>
      </c>
    </row>
    <row r="27" spans="2:33" x14ac:dyDescent="0.45">
      <c r="B27" s="241">
        <v>1</v>
      </c>
      <c r="C27" s="144">
        <f ca="1">TODAY()</f>
        <v>44061</v>
      </c>
      <c r="D27" s="73">
        <v>50000</v>
      </c>
      <c r="E27" s="56"/>
      <c r="F27" s="56"/>
      <c r="G27" s="56"/>
      <c r="H27" s="73">
        <f t="shared" ref="H27:H72" si="0">SUM(D27+E27+F27-G27)</f>
        <v>50000</v>
      </c>
      <c r="I27" s="289">
        <f>H27/$D$16</f>
        <v>7.6409370845240462E-3</v>
      </c>
      <c r="J27" s="289">
        <f>I27</f>
        <v>7.6409370845240462E-3</v>
      </c>
      <c r="K27" s="241">
        <v>1</v>
      </c>
      <c r="L27" s="144">
        <f ca="1">C27</f>
        <v>44061</v>
      </c>
      <c r="M27" s="73">
        <v>50000</v>
      </c>
      <c r="N27" s="56"/>
      <c r="O27" s="56"/>
      <c r="P27" s="56"/>
      <c r="Q27" s="73">
        <f>SUM(M27+N27+O27-P27)</f>
        <v>50000</v>
      </c>
      <c r="S27" s="241">
        <v>1</v>
      </c>
      <c r="T27" s="144">
        <f ca="1">C27</f>
        <v>44061</v>
      </c>
      <c r="U27" s="73">
        <v>50000</v>
      </c>
      <c r="V27" s="56"/>
      <c r="W27" s="56"/>
      <c r="X27" s="56"/>
      <c r="Y27" s="73">
        <f>SUM(U27+V27+W27-X27)</f>
        <v>50000</v>
      </c>
      <c r="AA27" s="241">
        <v>1</v>
      </c>
      <c r="AB27" s="144">
        <f ca="1">C27</f>
        <v>44061</v>
      </c>
      <c r="AC27" s="73">
        <v>50000</v>
      </c>
      <c r="AD27" s="56"/>
      <c r="AE27" s="56"/>
      <c r="AF27" s="56"/>
      <c r="AG27" s="73">
        <f>SUM(AC27+AD27+AE27-AF27)</f>
        <v>50000</v>
      </c>
    </row>
    <row r="28" spans="2:33" x14ac:dyDescent="0.45">
      <c r="B28" s="241">
        <v>2</v>
      </c>
      <c r="C28" s="74">
        <f ca="1">EDATE(C27,1)</f>
        <v>44092</v>
      </c>
      <c r="D28" s="56"/>
      <c r="E28" s="45"/>
      <c r="F28" s="56"/>
      <c r="G28" s="56"/>
      <c r="H28" s="73">
        <f t="shared" si="0"/>
        <v>0</v>
      </c>
      <c r="I28" s="289">
        <f t="shared" ref="I28:I41" si="1">H28/$D$16</f>
        <v>0</v>
      </c>
      <c r="J28" s="289">
        <f>I28+J27</f>
        <v>7.6409370845240462E-3</v>
      </c>
      <c r="K28" s="241">
        <v>2</v>
      </c>
      <c r="L28" s="74">
        <f ca="1">EDATE(L27,1)</f>
        <v>44092</v>
      </c>
      <c r="M28" s="56"/>
      <c r="N28" s="45">
        <f>(M16*95%)-M27</f>
        <v>5606965</v>
      </c>
      <c r="O28" s="56"/>
      <c r="P28" s="56"/>
      <c r="Q28" s="73">
        <f t="shared" ref="Q28:Q72" si="2">SUM(M28+N28+O28-P28)</f>
        <v>5606965</v>
      </c>
      <c r="S28" s="241">
        <v>2</v>
      </c>
      <c r="T28" s="74">
        <f ca="1">EDATE(T27,1)</f>
        <v>44092</v>
      </c>
      <c r="U28" s="56"/>
      <c r="V28" s="45">
        <f>(30%*U16)-U27</f>
        <v>1913110</v>
      </c>
      <c r="W28" s="56"/>
      <c r="X28" s="56"/>
      <c r="Y28" s="73">
        <f t="shared" ref="Y28:Y72" si="3">SUM(U28+V28+W28-X28)</f>
        <v>1913110</v>
      </c>
      <c r="AA28" s="241">
        <v>2</v>
      </c>
      <c r="AB28" s="74">
        <f ca="1">EDATE(AB27,1)</f>
        <v>44092</v>
      </c>
      <c r="AC28" s="56"/>
      <c r="AD28" s="45">
        <f>(AC16*10%)-AC27</f>
        <v>604370</v>
      </c>
      <c r="AE28" s="56"/>
      <c r="AF28" s="56"/>
      <c r="AG28" s="73">
        <f t="shared" ref="AG28:AG72" si="4">SUM(AC28+AD28+AE28-AF28)</f>
        <v>604370</v>
      </c>
    </row>
    <row r="29" spans="2:33" x14ac:dyDescent="0.45">
      <c r="B29" s="241">
        <v>3</v>
      </c>
      <c r="C29" s="74">
        <f t="shared" ref="C29:C72" ca="1" si="5">EDATE(C28,1)</f>
        <v>44122</v>
      </c>
      <c r="D29" s="56"/>
      <c r="E29" s="45"/>
      <c r="F29" s="45"/>
      <c r="G29" s="56"/>
      <c r="H29" s="73">
        <f t="shared" si="0"/>
        <v>0</v>
      </c>
      <c r="I29" s="289">
        <f t="shared" si="1"/>
        <v>0</v>
      </c>
      <c r="J29" s="289">
        <f t="shared" ref="J29:J41" si="6">I29+J28</f>
        <v>7.6409370845240462E-3</v>
      </c>
      <c r="K29" s="241">
        <v>3</v>
      </c>
      <c r="L29" s="74">
        <f t="shared" ref="L29:L72" ca="1" si="7">EDATE(L28,1)</f>
        <v>44122</v>
      </c>
      <c r="M29" s="56"/>
      <c r="N29" s="45">
        <f>(M16-SUM(M27:N28))</f>
        <v>297735</v>
      </c>
      <c r="O29" s="56"/>
      <c r="P29" s="56"/>
      <c r="Q29" s="73">
        <f t="shared" si="2"/>
        <v>297735</v>
      </c>
      <c r="S29" s="241">
        <v>3</v>
      </c>
      <c r="T29" s="74">
        <f t="shared" ref="T29:T72" ca="1" si="8">EDATE(T28,1)</f>
        <v>44122</v>
      </c>
      <c r="U29" s="56"/>
      <c r="V29" s="45"/>
      <c r="W29" s="73">
        <f>(70%*$U$16)/36</f>
        <v>127238.61111111111</v>
      </c>
      <c r="X29" s="56"/>
      <c r="Y29" s="73">
        <f t="shared" si="3"/>
        <v>127238.61111111111</v>
      </c>
      <c r="AA29" s="241">
        <v>3</v>
      </c>
      <c r="AB29" s="74">
        <f t="shared" ref="AB29:AB72" ca="1" si="9">EDATE(AB28,1)</f>
        <v>44122</v>
      </c>
      <c r="AC29" s="56"/>
      <c r="AD29" s="45"/>
      <c r="AE29" s="73">
        <f>(AC16*40%)/24</f>
        <v>109061.66666666667</v>
      </c>
      <c r="AF29" s="56"/>
      <c r="AG29" s="73">
        <f t="shared" si="4"/>
        <v>109061.66666666667</v>
      </c>
    </row>
    <row r="30" spans="2:33" x14ac:dyDescent="0.45">
      <c r="B30" s="241">
        <v>4</v>
      </c>
      <c r="C30" s="74">
        <f t="shared" ca="1" si="5"/>
        <v>44153</v>
      </c>
      <c r="D30" s="56"/>
      <c r="E30" s="45"/>
      <c r="F30" s="45"/>
      <c r="G30" s="56"/>
      <c r="H30" s="73">
        <f t="shared" si="0"/>
        <v>0</v>
      </c>
      <c r="I30" s="289">
        <f t="shared" si="1"/>
        <v>0</v>
      </c>
      <c r="J30" s="289">
        <f t="shared" si="6"/>
        <v>7.6409370845240462E-3</v>
      </c>
      <c r="K30" s="241">
        <v>4</v>
      </c>
      <c r="L30" s="74">
        <f t="shared" ca="1" si="7"/>
        <v>44153</v>
      </c>
      <c r="M30" s="56"/>
      <c r="N30" s="56"/>
      <c r="O30" s="56"/>
      <c r="P30" s="56"/>
      <c r="Q30" s="73">
        <f t="shared" si="2"/>
        <v>0</v>
      </c>
      <c r="S30" s="241">
        <v>4</v>
      </c>
      <c r="T30" s="74">
        <f t="shared" ca="1" si="8"/>
        <v>44153</v>
      </c>
      <c r="U30" s="56"/>
      <c r="V30" s="56"/>
      <c r="W30" s="73">
        <f t="shared" ref="W30:W64" si="10">(70%*$U$16)/36</f>
        <v>127238.61111111111</v>
      </c>
      <c r="X30" s="56"/>
      <c r="Y30" s="73">
        <f t="shared" si="3"/>
        <v>127238.61111111111</v>
      </c>
      <c r="AA30" s="241">
        <v>4</v>
      </c>
      <c r="AB30" s="74">
        <f t="shared" ca="1" si="9"/>
        <v>44153</v>
      </c>
      <c r="AC30" s="56"/>
      <c r="AD30" s="45"/>
      <c r="AE30" s="73">
        <f>AE29</f>
        <v>109061.66666666667</v>
      </c>
      <c r="AF30" s="56"/>
      <c r="AG30" s="73">
        <f t="shared" si="4"/>
        <v>109061.66666666667</v>
      </c>
    </row>
    <row r="31" spans="2:33" x14ac:dyDescent="0.45">
      <c r="B31" s="241">
        <v>5</v>
      </c>
      <c r="C31" s="74">
        <f t="shared" ca="1" si="5"/>
        <v>44183</v>
      </c>
      <c r="D31" s="56"/>
      <c r="E31" s="45"/>
      <c r="F31" s="45"/>
      <c r="G31" s="56"/>
      <c r="H31" s="73">
        <f t="shared" si="0"/>
        <v>0</v>
      </c>
      <c r="I31" s="289">
        <f t="shared" si="1"/>
        <v>0</v>
      </c>
      <c r="J31" s="289">
        <f t="shared" si="6"/>
        <v>7.6409370845240462E-3</v>
      </c>
      <c r="K31" s="241">
        <v>5</v>
      </c>
      <c r="L31" s="74">
        <f t="shared" ca="1" si="7"/>
        <v>44183</v>
      </c>
      <c r="M31" s="56"/>
      <c r="N31" s="56"/>
      <c r="O31" s="56"/>
      <c r="P31" s="56"/>
      <c r="Q31" s="73">
        <f t="shared" si="2"/>
        <v>0</v>
      </c>
      <c r="S31" s="241">
        <v>5</v>
      </c>
      <c r="T31" s="74">
        <f t="shared" ca="1" si="8"/>
        <v>44183</v>
      </c>
      <c r="U31" s="56"/>
      <c r="V31" s="56"/>
      <c r="W31" s="73">
        <f t="shared" si="10"/>
        <v>127238.61111111111</v>
      </c>
      <c r="X31" s="56"/>
      <c r="Y31" s="73">
        <f t="shared" si="3"/>
        <v>127238.61111111111</v>
      </c>
      <c r="AA31" s="241">
        <v>5</v>
      </c>
      <c r="AB31" s="74">
        <f t="shared" ca="1" si="9"/>
        <v>44183</v>
      </c>
      <c r="AC31" s="56"/>
      <c r="AD31" s="45"/>
      <c r="AE31" s="73">
        <f t="shared" ref="AE31:AE52" si="11">AE30</f>
        <v>109061.66666666667</v>
      </c>
      <c r="AF31" s="56"/>
      <c r="AG31" s="73">
        <f t="shared" si="4"/>
        <v>109061.66666666667</v>
      </c>
    </row>
    <row r="32" spans="2:33" x14ac:dyDescent="0.45">
      <c r="B32" s="241">
        <v>6</v>
      </c>
      <c r="C32" s="74">
        <f t="shared" ca="1" si="5"/>
        <v>44214</v>
      </c>
      <c r="D32" s="56"/>
      <c r="E32" s="45"/>
      <c r="F32" s="45"/>
      <c r="G32" s="56"/>
      <c r="H32" s="73">
        <f t="shared" si="0"/>
        <v>0</v>
      </c>
      <c r="I32" s="289">
        <f t="shared" si="1"/>
        <v>0</v>
      </c>
      <c r="J32" s="289">
        <f t="shared" si="6"/>
        <v>7.6409370845240462E-3</v>
      </c>
      <c r="K32" s="241">
        <v>6</v>
      </c>
      <c r="L32" s="74">
        <f t="shared" ca="1" si="7"/>
        <v>44214</v>
      </c>
      <c r="M32" s="56"/>
      <c r="N32" s="56"/>
      <c r="O32" s="56"/>
      <c r="P32" s="56"/>
      <c r="Q32" s="73">
        <f t="shared" si="2"/>
        <v>0</v>
      </c>
      <c r="S32" s="241">
        <v>6</v>
      </c>
      <c r="T32" s="74">
        <f t="shared" ca="1" si="8"/>
        <v>44214</v>
      </c>
      <c r="U32" s="56"/>
      <c r="V32" s="56"/>
      <c r="W32" s="73">
        <f t="shared" si="10"/>
        <v>127238.61111111111</v>
      </c>
      <c r="X32" s="56"/>
      <c r="Y32" s="73">
        <f t="shared" si="3"/>
        <v>127238.61111111111</v>
      </c>
      <c r="AA32" s="241">
        <v>6</v>
      </c>
      <c r="AB32" s="74">
        <f t="shared" ca="1" si="9"/>
        <v>44214</v>
      </c>
      <c r="AC32" s="56"/>
      <c r="AD32" s="45"/>
      <c r="AE32" s="73">
        <f t="shared" si="11"/>
        <v>109061.66666666667</v>
      </c>
      <c r="AF32" s="56"/>
      <c r="AG32" s="73">
        <f t="shared" si="4"/>
        <v>109061.66666666667</v>
      </c>
    </row>
    <row r="33" spans="2:33" x14ac:dyDescent="0.45">
      <c r="B33" s="241">
        <v>7</v>
      </c>
      <c r="C33" s="74">
        <f t="shared" ca="1" si="5"/>
        <v>44245</v>
      </c>
      <c r="D33" s="56"/>
      <c r="E33" s="45"/>
      <c r="F33" s="45"/>
      <c r="G33" s="56"/>
      <c r="H33" s="73">
        <f t="shared" si="0"/>
        <v>0</v>
      </c>
      <c r="I33" s="289">
        <f t="shared" si="1"/>
        <v>0</v>
      </c>
      <c r="J33" s="289">
        <f t="shared" si="6"/>
        <v>7.6409370845240462E-3</v>
      </c>
      <c r="K33" s="241">
        <v>7</v>
      </c>
      <c r="L33" s="74">
        <f t="shared" ca="1" si="7"/>
        <v>44245</v>
      </c>
      <c r="M33" s="56"/>
      <c r="N33" s="56"/>
      <c r="O33" s="56"/>
      <c r="P33" s="56"/>
      <c r="Q33" s="73">
        <f t="shared" si="2"/>
        <v>0</v>
      </c>
      <c r="S33" s="241">
        <v>7</v>
      </c>
      <c r="T33" s="74">
        <f t="shared" ca="1" si="8"/>
        <v>44245</v>
      </c>
      <c r="U33" s="56"/>
      <c r="V33" s="56"/>
      <c r="W33" s="73">
        <f t="shared" si="10"/>
        <v>127238.61111111111</v>
      </c>
      <c r="X33" s="56"/>
      <c r="Y33" s="73">
        <f t="shared" si="3"/>
        <v>127238.61111111111</v>
      </c>
      <c r="AA33" s="241">
        <v>7</v>
      </c>
      <c r="AB33" s="74">
        <f t="shared" ca="1" si="9"/>
        <v>44245</v>
      </c>
      <c r="AC33" s="56"/>
      <c r="AD33" s="45"/>
      <c r="AE33" s="73">
        <f t="shared" si="11"/>
        <v>109061.66666666667</v>
      </c>
      <c r="AF33" s="56"/>
      <c r="AG33" s="73">
        <f t="shared" si="4"/>
        <v>109061.66666666667</v>
      </c>
    </row>
    <row r="34" spans="2:33" x14ac:dyDescent="0.45">
      <c r="B34" s="241">
        <v>8</v>
      </c>
      <c r="C34" s="74">
        <f t="shared" ca="1" si="5"/>
        <v>44273</v>
      </c>
      <c r="D34" s="56"/>
      <c r="E34" s="45"/>
      <c r="F34" s="45"/>
      <c r="G34" s="56"/>
      <c r="H34" s="73">
        <f t="shared" si="0"/>
        <v>0</v>
      </c>
      <c r="I34" s="289">
        <f t="shared" si="1"/>
        <v>0</v>
      </c>
      <c r="J34" s="289">
        <f t="shared" si="6"/>
        <v>7.6409370845240462E-3</v>
      </c>
      <c r="K34" s="241">
        <v>8</v>
      </c>
      <c r="L34" s="74">
        <f t="shared" ca="1" si="7"/>
        <v>44273</v>
      </c>
      <c r="M34" s="56"/>
      <c r="N34" s="56"/>
      <c r="O34" s="56"/>
      <c r="P34" s="56"/>
      <c r="Q34" s="73">
        <f t="shared" si="2"/>
        <v>0</v>
      </c>
      <c r="S34" s="241">
        <v>8</v>
      </c>
      <c r="T34" s="74">
        <f t="shared" ca="1" si="8"/>
        <v>44273</v>
      </c>
      <c r="U34" s="56"/>
      <c r="V34" s="56"/>
      <c r="W34" s="73">
        <f t="shared" si="10"/>
        <v>127238.61111111111</v>
      </c>
      <c r="X34" s="56"/>
      <c r="Y34" s="73">
        <f t="shared" si="3"/>
        <v>127238.61111111111</v>
      </c>
      <c r="AA34" s="241">
        <v>8</v>
      </c>
      <c r="AB34" s="74">
        <f t="shared" ca="1" si="9"/>
        <v>44273</v>
      </c>
      <c r="AC34" s="56"/>
      <c r="AD34" s="45"/>
      <c r="AE34" s="73">
        <f t="shared" si="11"/>
        <v>109061.66666666667</v>
      </c>
      <c r="AF34" s="56"/>
      <c r="AG34" s="73">
        <f t="shared" si="4"/>
        <v>109061.66666666667</v>
      </c>
    </row>
    <row r="35" spans="2:33" x14ac:dyDescent="0.45">
      <c r="B35" s="241">
        <v>9</v>
      </c>
      <c r="C35" s="74">
        <f t="shared" ca="1" si="5"/>
        <v>44304</v>
      </c>
      <c r="D35" s="56"/>
      <c r="E35" s="45"/>
      <c r="F35" s="45"/>
      <c r="G35" s="56"/>
      <c r="H35" s="73">
        <f t="shared" si="0"/>
        <v>0</v>
      </c>
      <c r="I35" s="289">
        <f t="shared" si="1"/>
        <v>0</v>
      </c>
      <c r="J35" s="289">
        <f t="shared" si="6"/>
        <v>7.6409370845240462E-3</v>
      </c>
      <c r="K35" s="241">
        <v>9</v>
      </c>
      <c r="L35" s="74">
        <f t="shared" ca="1" si="7"/>
        <v>44304</v>
      </c>
      <c r="M35" s="56"/>
      <c r="N35" s="56"/>
      <c r="O35" s="56"/>
      <c r="P35" s="56"/>
      <c r="Q35" s="73">
        <f t="shared" si="2"/>
        <v>0</v>
      </c>
      <c r="S35" s="241">
        <v>9</v>
      </c>
      <c r="T35" s="74">
        <f t="shared" ca="1" si="8"/>
        <v>44304</v>
      </c>
      <c r="U35" s="56"/>
      <c r="V35" s="56"/>
      <c r="W35" s="73">
        <f t="shared" si="10"/>
        <v>127238.61111111111</v>
      </c>
      <c r="X35" s="56"/>
      <c r="Y35" s="73">
        <f t="shared" si="3"/>
        <v>127238.61111111111</v>
      </c>
      <c r="AA35" s="241">
        <v>9</v>
      </c>
      <c r="AB35" s="74">
        <f t="shared" ca="1" si="9"/>
        <v>44304</v>
      </c>
      <c r="AC35" s="56"/>
      <c r="AD35" s="45"/>
      <c r="AE35" s="73">
        <f t="shared" si="11"/>
        <v>109061.66666666667</v>
      </c>
      <c r="AF35" s="56"/>
      <c r="AG35" s="73">
        <f t="shared" si="4"/>
        <v>109061.66666666667</v>
      </c>
    </row>
    <row r="36" spans="2:33" x14ac:dyDescent="0.45">
      <c r="B36" s="241">
        <v>10</v>
      </c>
      <c r="C36" s="74">
        <f t="shared" ca="1" si="5"/>
        <v>44334</v>
      </c>
      <c r="D36" s="56"/>
      <c r="E36" s="45"/>
      <c r="F36" s="45"/>
      <c r="G36" s="56"/>
      <c r="H36" s="73">
        <f t="shared" si="0"/>
        <v>0</v>
      </c>
      <c r="I36" s="289">
        <f t="shared" si="1"/>
        <v>0</v>
      </c>
      <c r="J36" s="289">
        <f t="shared" si="6"/>
        <v>7.6409370845240462E-3</v>
      </c>
      <c r="K36" s="241">
        <v>10</v>
      </c>
      <c r="L36" s="74">
        <f t="shared" ca="1" si="7"/>
        <v>44334</v>
      </c>
      <c r="M36" s="56"/>
      <c r="N36" s="56"/>
      <c r="O36" s="56"/>
      <c r="P36" s="56"/>
      <c r="Q36" s="73">
        <f t="shared" si="2"/>
        <v>0</v>
      </c>
      <c r="S36" s="241">
        <v>10</v>
      </c>
      <c r="T36" s="74">
        <f t="shared" ca="1" si="8"/>
        <v>44334</v>
      </c>
      <c r="U36" s="56"/>
      <c r="V36" s="56"/>
      <c r="W36" s="73">
        <f t="shared" si="10"/>
        <v>127238.61111111111</v>
      </c>
      <c r="X36" s="56"/>
      <c r="Y36" s="73">
        <f t="shared" si="3"/>
        <v>127238.61111111111</v>
      </c>
      <c r="AA36" s="241">
        <v>10</v>
      </c>
      <c r="AB36" s="74">
        <f t="shared" ca="1" si="9"/>
        <v>44334</v>
      </c>
      <c r="AC36" s="56"/>
      <c r="AD36" s="45"/>
      <c r="AE36" s="73">
        <f t="shared" si="11"/>
        <v>109061.66666666667</v>
      </c>
      <c r="AF36" s="56"/>
      <c r="AG36" s="73">
        <f t="shared" si="4"/>
        <v>109061.66666666667</v>
      </c>
    </row>
    <row r="37" spans="2:33" x14ac:dyDescent="0.45">
      <c r="B37" s="241">
        <v>11</v>
      </c>
      <c r="C37" s="74">
        <f t="shared" ca="1" si="5"/>
        <v>44365</v>
      </c>
      <c r="D37" s="56"/>
      <c r="E37" s="45"/>
      <c r="F37" s="45"/>
      <c r="G37" s="56"/>
      <c r="H37" s="73">
        <f t="shared" si="0"/>
        <v>0</v>
      </c>
      <c r="I37" s="289">
        <f t="shared" si="1"/>
        <v>0</v>
      </c>
      <c r="J37" s="289">
        <f t="shared" si="6"/>
        <v>7.6409370845240462E-3</v>
      </c>
      <c r="K37" s="241">
        <v>11</v>
      </c>
      <c r="L37" s="74">
        <f t="shared" ca="1" si="7"/>
        <v>44365</v>
      </c>
      <c r="M37" s="56"/>
      <c r="N37" s="56"/>
      <c r="O37" s="56"/>
      <c r="P37" s="56"/>
      <c r="Q37" s="73">
        <f t="shared" si="2"/>
        <v>0</v>
      </c>
      <c r="S37" s="241">
        <v>11</v>
      </c>
      <c r="T37" s="74">
        <f t="shared" ca="1" si="8"/>
        <v>44365</v>
      </c>
      <c r="U37" s="56"/>
      <c r="V37" s="56"/>
      <c r="W37" s="73">
        <f t="shared" si="10"/>
        <v>127238.61111111111</v>
      </c>
      <c r="X37" s="56"/>
      <c r="Y37" s="73">
        <f t="shared" si="3"/>
        <v>127238.61111111111</v>
      </c>
      <c r="AA37" s="241">
        <v>11</v>
      </c>
      <c r="AB37" s="74">
        <f t="shared" ca="1" si="9"/>
        <v>44365</v>
      </c>
      <c r="AC37" s="56"/>
      <c r="AD37" s="45"/>
      <c r="AE37" s="73">
        <f t="shared" si="11"/>
        <v>109061.66666666667</v>
      </c>
      <c r="AF37" s="56"/>
      <c r="AG37" s="73">
        <f t="shared" si="4"/>
        <v>109061.66666666667</v>
      </c>
    </row>
    <row r="38" spans="2:33" x14ac:dyDescent="0.45">
      <c r="B38" s="241">
        <v>12</v>
      </c>
      <c r="C38" s="74">
        <f t="shared" ca="1" si="5"/>
        <v>44395</v>
      </c>
      <c r="D38" s="56"/>
      <c r="E38" s="45"/>
      <c r="F38" s="45"/>
      <c r="G38" s="56"/>
      <c r="H38" s="73">
        <f t="shared" si="0"/>
        <v>0</v>
      </c>
      <c r="I38" s="289">
        <f t="shared" si="1"/>
        <v>0</v>
      </c>
      <c r="J38" s="289">
        <f t="shared" si="6"/>
        <v>7.6409370845240462E-3</v>
      </c>
      <c r="K38" s="241">
        <v>12</v>
      </c>
      <c r="L38" s="74">
        <f t="shared" ca="1" si="7"/>
        <v>44395</v>
      </c>
      <c r="M38" s="56"/>
      <c r="N38" s="56"/>
      <c r="O38" s="56"/>
      <c r="P38" s="56"/>
      <c r="Q38" s="73">
        <f t="shared" si="2"/>
        <v>0</v>
      </c>
      <c r="S38" s="241">
        <v>12</v>
      </c>
      <c r="T38" s="74">
        <f t="shared" ca="1" si="8"/>
        <v>44395</v>
      </c>
      <c r="U38" s="56"/>
      <c r="V38" s="56"/>
      <c r="W38" s="73">
        <f t="shared" si="10"/>
        <v>127238.61111111111</v>
      </c>
      <c r="X38" s="56"/>
      <c r="Y38" s="73">
        <f t="shared" si="3"/>
        <v>127238.61111111111</v>
      </c>
      <c r="AA38" s="241">
        <v>12</v>
      </c>
      <c r="AB38" s="74">
        <f t="shared" ca="1" si="9"/>
        <v>44395</v>
      </c>
      <c r="AC38" s="56"/>
      <c r="AD38" s="45"/>
      <c r="AE38" s="73">
        <f t="shared" si="11"/>
        <v>109061.66666666667</v>
      </c>
      <c r="AF38" s="56"/>
      <c r="AG38" s="73">
        <f t="shared" si="4"/>
        <v>109061.66666666667</v>
      </c>
    </row>
    <row r="39" spans="2:33" x14ac:dyDescent="0.45">
      <c r="B39" s="241">
        <v>13</v>
      </c>
      <c r="C39" s="74">
        <f t="shared" ca="1" si="5"/>
        <v>44426</v>
      </c>
      <c r="D39" s="56"/>
      <c r="E39" s="45"/>
      <c r="F39" s="45"/>
      <c r="G39" s="56"/>
      <c r="H39" s="73">
        <f t="shared" si="0"/>
        <v>0</v>
      </c>
      <c r="I39" s="289">
        <f t="shared" si="1"/>
        <v>0</v>
      </c>
      <c r="J39" s="289">
        <f t="shared" si="6"/>
        <v>7.6409370845240462E-3</v>
      </c>
      <c r="K39" s="241">
        <v>13</v>
      </c>
      <c r="L39" s="74">
        <f t="shared" ca="1" si="7"/>
        <v>44426</v>
      </c>
      <c r="M39" s="56"/>
      <c r="N39" s="56"/>
      <c r="O39" s="56"/>
      <c r="P39" s="56"/>
      <c r="Q39" s="73">
        <f t="shared" si="2"/>
        <v>0</v>
      </c>
      <c r="S39" s="241">
        <v>13</v>
      </c>
      <c r="T39" s="74">
        <f t="shared" ca="1" si="8"/>
        <v>44426</v>
      </c>
      <c r="U39" s="56"/>
      <c r="V39" s="56"/>
      <c r="W39" s="73">
        <f t="shared" si="10"/>
        <v>127238.61111111111</v>
      </c>
      <c r="X39" s="56"/>
      <c r="Y39" s="73">
        <f t="shared" si="3"/>
        <v>127238.61111111111</v>
      </c>
      <c r="AA39" s="241">
        <v>13</v>
      </c>
      <c r="AB39" s="74">
        <f t="shared" ca="1" si="9"/>
        <v>44426</v>
      </c>
      <c r="AC39" s="56"/>
      <c r="AD39" s="45"/>
      <c r="AE39" s="73">
        <f t="shared" si="11"/>
        <v>109061.66666666667</v>
      </c>
      <c r="AF39" s="56"/>
      <c r="AG39" s="73">
        <f>SUM(AC39+AD39+AE39-AF39)</f>
        <v>109061.66666666667</v>
      </c>
    </row>
    <row r="40" spans="2:33" x14ac:dyDescent="0.45">
      <c r="B40" s="241">
        <v>14</v>
      </c>
      <c r="C40" s="74">
        <f t="shared" ca="1" si="5"/>
        <v>44457</v>
      </c>
      <c r="D40" s="56"/>
      <c r="E40" s="45"/>
      <c r="F40" s="45"/>
      <c r="G40" s="56"/>
      <c r="H40" s="73">
        <f>SUM(D40+E40+F40+G40)</f>
        <v>0</v>
      </c>
      <c r="I40" s="289">
        <f t="shared" si="1"/>
        <v>0</v>
      </c>
      <c r="J40" s="289">
        <f t="shared" si="6"/>
        <v>7.6409370845240462E-3</v>
      </c>
      <c r="K40" s="241">
        <v>14</v>
      </c>
      <c r="L40" s="74">
        <f t="shared" ca="1" si="7"/>
        <v>44457</v>
      </c>
      <c r="M40" s="56"/>
      <c r="N40" s="56"/>
      <c r="O40" s="56"/>
      <c r="P40" s="56"/>
      <c r="Q40" s="73">
        <f t="shared" si="2"/>
        <v>0</v>
      </c>
      <c r="S40" s="241">
        <v>14</v>
      </c>
      <c r="T40" s="74">
        <f t="shared" ca="1" si="8"/>
        <v>44457</v>
      </c>
      <c r="U40" s="56"/>
      <c r="V40" s="56"/>
      <c r="W40" s="73">
        <f t="shared" si="10"/>
        <v>127238.61111111111</v>
      </c>
      <c r="X40" s="56"/>
      <c r="Y40" s="73">
        <f t="shared" si="3"/>
        <v>127238.61111111111</v>
      </c>
      <c r="AA40" s="241">
        <v>14</v>
      </c>
      <c r="AB40" s="74">
        <f t="shared" ca="1" si="9"/>
        <v>44457</v>
      </c>
      <c r="AC40" s="56"/>
      <c r="AD40" s="56"/>
      <c r="AE40" s="73">
        <f t="shared" si="11"/>
        <v>109061.66666666667</v>
      </c>
      <c r="AF40" s="56"/>
      <c r="AG40" s="73">
        <f>SUM(AC40+AD40+AE40-AF40)</f>
        <v>109061.66666666667</v>
      </c>
    </row>
    <row r="41" spans="2:33" x14ac:dyDescent="0.45">
      <c r="B41" s="241">
        <v>15</v>
      </c>
      <c r="C41" s="74">
        <f t="shared" ca="1" si="5"/>
        <v>44487</v>
      </c>
      <c r="D41" s="56"/>
      <c r="E41" s="45"/>
      <c r="F41" s="45"/>
      <c r="G41" s="45"/>
      <c r="H41" s="73">
        <f>SUM(D41+E41+F41+G41)</f>
        <v>0</v>
      </c>
      <c r="I41" s="289">
        <f t="shared" si="1"/>
        <v>0</v>
      </c>
      <c r="J41" s="289">
        <f t="shared" si="6"/>
        <v>7.6409370845240462E-3</v>
      </c>
      <c r="K41" s="241">
        <v>15</v>
      </c>
      <c r="L41" s="74">
        <f t="shared" ca="1" si="7"/>
        <v>44487</v>
      </c>
      <c r="M41" s="56"/>
      <c r="N41" s="56"/>
      <c r="O41" s="56"/>
      <c r="P41" s="56"/>
      <c r="Q41" s="73">
        <f t="shared" si="2"/>
        <v>0</v>
      </c>
      <c r="S41" s="241">
        <v>15</v>
      </c>
      <c r="T41" s="74">
        <f t="shared" ca="1" si="8"/>
        <v>44487</v>
      </c>
      <c r="U41" s="56"/>
      <c r="V41" s="56"/>
      <c r="W41" s="73">
        <f t="shared" si="10"/>
        <v>127238.61111111111</v>
      </c>
      <c r="X41" s="56"/>
      <c r="Y41" s="73">
        <f t="shared" si="3"/>
        <v>127238.61111111111</v>
      </c>
      <c r="AA41" s="241">
        <v>15</v>
      </c>
      <c r="AB41" s="74">
        <f t="shared" ca="1" si="9"/>
        <v>44487</v>
      </c>
      <c r="AC41" s="56"/>
      <c r="AD41" s="56"/>
      <c r="AE41" s="73">
        <f t="shared" si="11"/>
        <v>109061.66666666667</v>
      </c>
      <c r="AF41" s="56"/>
      <c r="AG41" s="73">
        <f t="shared" si="4"/>
        <v>109061.66666666667</v>
      </c>
    </row>
    <row r="42" spans="2:33" x14ac:dyDescent="0.45">
      <c r="B42" s="241">
        <v>16</v>
      </c>
      <c r="C42" s="74">
        <f t="shared" ca="1" si="5"/>
        <v>44518</v>
      </c>
      <c r="D42" s="56"/>
      <c r="E42" s="45"/>
      <c r="F42" s="45"/>
      <c r="G42" s="56"/>
      <c r="H42" s="73">
        <f t="shared" si="0"/>
        <v>0</v>
      </c>
      <c r="I42" s="289">
        <f t="shared" ref="I42:I73" si="12">H42/$D$16</f>
        <v>0</v>
      </c>
      <c r="J42" s="289">
        <f t="shared" ref="J42:J73" si="13">I42+J41</f>
        <v>7.6409370845240462E-3</v>
      </c>
      <c r="K42" s="241">
        <v>16</v>
      </c>
      <c r="L42" s="74">
        <f t="shared" ca="1" si="7"/>
        <v>44518</v>
      </c>
      <c r="M42" s="56"/>
      <c r="N42" s="56"/>
      <c r="O42" s="56"/>
      <c r="P42" s="56"/>
      <c r="Q42" s="73">
        <f t="shared" si="2"/>
        <v>0</v>
      </c>
      <c r="S42" s="241">
        <v>16</v>
      </c>
      <c r="T42" s="74">
        <f t="shared" ca="1" si="8"/>
        <v>44518</v>
      </c>
      <c r="U42" s="56"/>
      <c r="V42" s="56"/>
      <c r="W42" s="73">
        <f t="shared" si="10"/>
        <v>127238.61111111111</v>
      </c>
      <c r="X42" s="56"/>
      <c r="Y42" s="73">
        <f t="shared" si="3"/>
        <v>127238.61111111111</v>
      </c>
      <c r="AA42" s="241">
        <v>16</v>
      </c>
      <c r="AB42" s="74">
        <f t="shared" ca="1" si="9"/>
        <v>44518</v>
      </c>
      <c r="AC42" s="56"/>
      <c r="AD42" s="56"/>
      <c r="AE42" s="73">
        <f t="shared" si="11"/>
        <v>109061.66666666667</v>
      </c>
      <c r="AF42" s="56"/>
      <c r="AG42" s="73">
        <f t="shared" si="4"/>
        <v>109061.66666666667</v>
      </c>
    </row>
    <row r="43" spans="2:33" x14ac:dyDescent="0.45">
      <c r="B43" s="241">
        <v>17</v>
      </c>
      <c r="C43" s="74">
        <f t="shared" ca="1" si="5"/>
        <v>44548</v>
      </c>
      <c r="D43" s="56"/>
      <c r="E43" s="45"/>
      <c r="F43" s="45"/>
      <c r="G43" s="56"/>
      <c r="H43" s="73">
        <f t="shared" si="0"/>
        <v>0</v>
      </c>
      <c r="I43" s="289">
        <f t="shared" si="12"/>
        <v>0</v>
      </c>
      <c r="J43" s="289">
        <f t="shared" si="13"/>
        <v>7.6409370845240462E-3</v>
      </c>
      <c r="K43" s="241">
        <v>17</v>
      </c>
      <c r="L43" s="74">
        <f t="shared" ca="1" si="7"/>
        <v>44548</v>
      </c>
      <c r="M43" s="56"/>
      <c r="N43" s="56"/>
      <c r="O43" s="56"/>
      <c r="P43" s="56"/>
      <c r="Q43" s="73">
        <f t="shared" si="2"/>
        <v>0</v>
      </c>
      <c r="S43" s="241">
        <v>17</v>
      </c>
      <c r="T43" s="74">
        <f t="shared" ca="1" si="8"/>
        <v>44548</v>
      </c>
      <c r="U43" s="56"/>
      <c r="V43" s="56"/>
      <c r="W43" s="73">
        <f t="shared" si="10"/>
        <v>127238.61111111111</v>
      </c>
      <c r="X43" s="56"/>
      <c r="Y43" s="73">
        <f t="shared" si="3"/>
        <v>127238.61111111111</v>
      </c>
      <c r="AA43" s="241">
        <v>17</v>
      </c>
      <c r="AB43" s="74">
        <f t="shared" ca="1" si="9"/>
        <v>44548</v>
      </c>
      <c r="AC43" s="56"/>
      <c r="AD43" s="56"/>
      <c r="AE43" s="73">
        <f t="shared" si="11"/>
        <v>109061.66666666667</v>
      </c>
      <c r="AF43" s="56"/>
      <c r="AG43" s="73">
        <f t="shared" si="4"/>
        <v>109061.66666666667</v>
      </c>
    </row>
    <row r="44" spans="2:33" x14ac:dyDescent="0.45">
      <c r="B44" s="241">
        <v>18</v>
      </c>
      <c r="C44" s="74">
        <f t="shared" ca="1" si="5"/>
        <v>44579</v>
      </c>
      <c r="D44" s="56"/>
      <c r="E44" s="45"/>
      <c r="F44" s="45"/>
      <c r="G44" s="56"/>
      <c r="H44" s="73">
        <f t="shared" si="0"/>
        <v>0</v>
      </c>
      <c r="I44" s="289">
        <f t="shared" si="12"/>
        <v>0</v>
      </c>
      <c r="J44" s="289">
        <f t="shared" si="13"/>
        <v>7.6409370845240462E-3</v>
      </c>
      <c r="K44" s="241">
        <v>18</v>
      </c>
      <c r="L44" s="74">
        <f t="shared" ca="1" si="7"/>
        <v>44579</v>
      </c>
      <c r="M44" s="56"/>
      <c r="N44" s="56"/>
      <c r="O44" s="56"/>
      <c r="P44" s="56"/>
      <c r="Q44" s="73">
        <f t="shared" si="2"/>
        <v>0</v>
      </c>
      <c r="S44" s="241">
        <v>18</v>
      </c>
      <c r="T44" s="74">
        <f t="shared" ca="1" si="8"/>
        <v>44579</v>
      </c>
      <c r="U44" s="56"/>
      <c r="V44" s="56"/>
      <c r="W44" s="73">
        <f t="shared" si="10"/>
        <v>127238.61111111111</v>
      </c>
      <c r="X44" s="56"/>
      <c r="Y44" s="73">
        <f t="shared" si="3"/>
        <v>127238.61111111111</v>
      </c>
      <c r="AA44" s="241">
        <v>18</v>
      </c>
      <c r="AB44" s="74">
        <f t="shared" ca="1" si="9"/>
        <v>44579</v>
      </c>
      <c r="AC44" s="56"/>
      <c r="AD44" s="56"/>
      <c r="AE44" s="73">
        <f t="shared" si="11"/>
        <v>109061.66666666667</v>
      </c>
      <c r="AF44" s="56"/>
      <c r="AG44" s="73">
        <f t="shared" si="4"/>
        <v>109061.66666666667</v>
      </c>
    </row>
    <row r="45" spans="2:33" x14ac:dyDescent="0.45">
      <c r="B45" s="241">
        <v>19</v>
      </c>
      <c r="C45" s="74">
        <f t="shared" ca="1" si="5"/>
        <v>44610</v>
      </c>
      <c r="D45" s="56"/>
      <c r="E45" s="45"/>
      <c r="F45" s="45"/>
      <c r="G45" s="56"/>
      <c r="H45" s="73">
        <f t="shared" si="0"/>
        <v>0</v>
      </c>
      <c r="I45" s="289">
        <f t="shared" si="12"/>
        <v>0</v>
      </c>
      <c r="J45" s="289">
        <f t="shared" si="13"/>
        <v>7.6409370845240462E-3</v>
      </c>
      <c r="K45" s="241">
        <v>19</v>
      </c>
      <c r="L45" s="74">
        <f t="shared" ca="1" si="7"/>
        <v>44610</v>
      </c>
      <c r="M45" s="56"/>
      <c r="N45" s="56"/>
      <c r="O45" s="56"/>
      <c r="P45" s="56"/>
      <c r="Q45" s="73">
        <f t="shared" si="2"/>
        <v>0</v>
      </c>
      <c r="S45" s="241">
        <v>19</v>
      </c>
      <c r="T45" s="74">
        <f t="shared" ca="1" si="8"/>
        <v>44610</v>
      </c>
      <c r="U45" s="56"/>
      <c r="V45" s="56"/>
      <c r="W45" s="73">
        <f t="shared" si="10"/>
        <v>127238.61111111111</v>
      </c>
      <c r="X45" s="56"/>
      <c r="Y45" s="73">
        <f t="shared" si="3"/>
        <v>127238.61111111111</v>
      </c>
      <c r="AA45" s="241">
        <v>19</v>
      </c>
      <c r="AB45" s="74">
        <f t="shared" ca="1" si="9"/>
        <v>44610</v>
      </c>
      <c r="AC45" s="56"/>
      <c r="AD45" s="56"/>
      <c r="AE45" s="73">
        <f t="shared" si="11"/>
        <v>109061.66666666667</v>
      </c>
      <c r="AF45" s="56"/>
      <c r="AG45" s="73">
        <f t="shared" si="4"/>
        <v>109061.66666666667</v>
      </c>
    </row>
    <row r="46" spans="2:33" x14ac:dyDescent="0.45">
      <c r="B46" s="241">
        <v>20</v>
      </c>
      <c r="C46" s="74">
        <f t="shared" ca="1" si="5"/>
        <v>44638</v>
      </c>
      <c r="D46" s="45"/>
      <c r="E46" s="45"/>
      <c r="F46" s="45"/>
      <c r="G46" s="56"/>
      <c r="H46" s="73">
        <f t="shared" si="0"/>
        <v>0</v>
      </c>
      <c r="I46" s="289">
        <f t="shared" si="12"/>
        <v>0</v>
      </c>
      <c r="J46" s="289">
        <f t="shared" si="13"/>
        <v>7.6409370845240462E-3</v>
      </c>
      <c r="K46" s="241">
        <v>20</v>
      </c>
      <c r="L46" s="74">
        <f t="shared" ca="1" si="7"/>
        <v>44638</v>
      </c>
      <c r="M46" s="56"/>
      <c r="N46" s="56"/>
      <c r="O46" s="56"/>
      <c r="P46" s="56"/>
      <c r="Q46" s="73">
        <f t="shared" si="2"/>
        <v>0</v>
      </c>
      <c r="S46" s="241">
        <v>20</v>
      </c>
      <c r="T46" s="74">
        <f t="shared" ca="1" si="8"/>
        <v>44638</v>
      </c>
      <c r="U46" s="56"/>
      <c r="V46" s="56"/>
      <c r="W46" s="73">
        <f t="shared" si="10"/>
        <v>127238.61111111111</v>
      </c>
      <c r="X46" s="56"/>
      <c r="Y46" s="73">
        <f t="shared" si="3"/>
        <v>127238.61111111111</v>
      </c>
      <c r="AA46" s="241">
        <v>20</v>
      </c>
      <c r="AB46" s="74">
        <f t="shared" ca="1" si="9"/>
        <v>44638</v>
      </c>
      <c r="AC46" s="56"/>
      <c r="AD46" s="56"/>
      <c r="AE46" s="73">
        <f t="shared" si="11"/>
        <v>109061.66666666667</v>
      </c>
      <c r="AF46" s="56"/>
      <c r="AG46" s="73">
        <f>SUM(AC46+AD46+AE46-AF46)</f>
        <v>109061.66666666667</v>
      </c>
    </row>
    <row r="47" spans="2:33" x14ac:dyDescent="0.45">
      <c r="B47" s="241">
        <v>21</v>
      </c>
      <c r="C47" s="74">
        <f t="shared" ca="1" si="5"/>
        <v>44669</v>
      </c>
      <c r="D47" s="56"/>
      <c r="E47" s="45"/>
      <c r="F47" s="45"/>
      <c r="G47" s="56"/>
      <c r="H47" s="73">
        <f t="shared" si="0"/>
        <v>0</v>
      </c>
      <c r="I47" s="289">
        <f t="shared" si="12"/>
        <v>0</v>
      </c>
      <c r="J47" s="289">
        <f t="shared" si="13"/>
        <v>7.6409370845240462E-3</v>
      </c>
      <c r="K47" s="241">
        <v>21</v>
      </c>
      <c r="L47" s="74">
        <f t="shared" ca="1" si="7"/>
        <v>44669</v>
      </c>
      <c r="M47" s="56"/>
      <c r="N47" s="56"/>
      <c r="O47" s="56"/>
      <c r="P47" s="56"/>
      <c r="Q47" s="73">
        <f t="shared" si="2"/>
        <v>0</v>
      </c>
      <c r="S47" s="241">
        <v>21</v>
      </c>
      <c r="T47" s="74">
        <f t="shared" ca="1" si="8"/>
        <v>44669</v>
      </c>
      <c r="U47" s="56"/>
      <c r="V47" s="56"/>
      <c r="W47" s="73">
        <f t="shared" si="10"/>
        <v>127238.61111111111</v>
      </c>
      <c r="X47" s="56"/>
      <c r="Y47" s="73">
        <f t="shared" si="3"/>
        <v>127238.61111111111</v>
      </c>
      <c r="AA47" s="241">
        <v>21</v>
      </c>
      <c r="AB47" s="74">
        <f t="shared" ca="1" si="9"/>
        <v>44669</v>
      </c>
      <c r="AC47" s="56"/>
      <c r="AD47" s="73"/>
      <c r="AE47" s="73">
        <f t="shared" si="11"/>
        <v>109061.66666666667</v>
      </c>
      <c r="AF47" s="45"/>
      <c r="AG47" s="73">
        <f>AC47+AD47+AE47+AF47</f>
        <v>109061.66666666667</v>
      </c>
    </row>
    <row r="48" spans="2:33" x14ac:dyDescent="0.45">
      <c r="B48" s="241">
        <v>22</v>
      </c>
      <c r="C48" s="74">
        <f t="shared" ca="1" si="5"/>
        <v>44699</v>
      </c>
      <c r="D48" s="56"/>
      <c r="E48" s="45"/>
      <c r="F48" s="45"/>
      <c r="G48" s="56"/>
      <c r="H48" s="73">
        <f t="shared" si="0"/>
        <v>0</v>
      </c>
      <c r="I48" s="289">
        <f t="shared" si="12"/>
        <v>0</v>
      </c>
      <c r="J48" s="289">
        <f t="shared" si="13"/>
        <v>7.6409370845240462E-3</v>
      </c>
      <c r="K48" s="241">
        <v>22</v>
      </c>
      <c r="L48" s="74">
        <f t="shared" ca="1" si="7"/>
        <v>44699</v>
      </c>
      <c r="M48" s="56"/>
      <c r="N48" s="56"/>
      <c r="O48" s="56"/>
      <c r="P48" s="56"/>
      <c r="Q48" s="73">
        <f t="shared" si="2"/>
        <v>0</v>
      </c>
      <c r="S48" s="241">
        <v>22</v>
      </c>
      <c r="T48" s="74">
        <f t="shared" ca="1" si="8"/>
        <v>44699</v>
      </c>
      <c r="U48" s="56"/>
      <c r="V48" s="56"/>
      <c r="W48" s="73">
        <f t="shared" si="10"/>
        <v>127238.61111111111</v>
      </c>
      <c r="X48" s="56"/>
      <c r="Y48" s="73">
        <f t="shared" si="3"/>
        <v>127238.61111111111</v>
      </c>
      <c r="AA48" s="241">
        <v>22</v>
      </c>
      <c r="AB48" s="74">
        <f t="shared" ca="1" si="9"/>
        <v>44699</v>
      </c>
      <c r="AC48" s="56"/>
      <c r="AD48" s="56"/>
      <c r="AE48" s="73">
        <f t="shared" si="11"/>
        <v>109061.66666666667</v>
      </c>
      <c r="AF48" s="56"/>
      <c r="AG48" s="73">
        <f t="shared" si="4"/>
        <v>109061.66666666667</v>
      </c>
    </row>
    <row r="49" spans="2:33" x14ac:dyDescent="0.45">
      <c r="B49" s="241">
        <v>23</v>
      </c>
      <c r="C49" s="74">
        <f t="shared" ca="1" si="5"/>
        <v>44730</v>
      </c>
      <c r="D49" s="56"/>
      <c r="E49" s="45"/>
      <c r="F49" s="45"/>
      <c r="G49" s="56"/>
      <c r="H49" s="73">
        <f t="shared" si="0"/>
        <v>0</v>
      </c>
      <c r="I49" s="289">
        <f t="shared" si="12"/>
        <v>0</v>
      </c>
      <c r="J49" s="289">
        <f t="shared" si="13"/>
        <v>7.6409370845240462E-3</v>
      </c>
      <c r="K49" s="241">
        <v>23</v>
      </c>
      <c r="L49" s="74">
        <f t="shared" ca="1" si="7"/>
        <v>44730</v>
      </c>
      <c r="M49" s="56"/>
      <c r="N49" s="56"/>
      <c r="O49" s="56"/>
      <c r="P49" s="56"/>
      <c r="Q49" s="73">
        <f t="shared" si="2"/>
        <v>0</v>
      </c>
      <c r="S49" s="241">
        <v>23</v>
      </c>
      <c r="T49" s="74">
        <f t="shared" ca="1" si="8"/>
        <v>44730</v>
      </c>
      <c r="U49" s="56"/>
      <c r="V49" s="56"/>
      <c r="W49" s="73">
        <f t="shared" si="10"/>
        <v>127238.61111111111</v>
      </c>
      <c r="X49" s="56"/>
      <c r="Y49" s="73">
        <f t="shared" si="3"/>
        <v>127238.61111111111</v>
      </c>
      <c r="AA49" s="241">
        <v>23</v>
      </c>
      <c r="AB49" s="74">
        <f t="shared" ca="1" si="9"/>
        <v>44730</v>
      </c>
      <c r="AC49" s="56"/>
      <c r="AD49" s="56"/>
      <c r="AE49" s="73">
        <f t="shared" si="11"/>
        <v>109061.66666666667</v>
      </c>
      <c r="AF49" s="56"/>
      <c r="AG49" s="73">
        <f t="shared" si="4"/>
        <v>109061.66666666667</v>
      </c>
    </row>
    <row r="50" spans="2:33" x14ac:dyDescent="0.45">
      <c r="B50" s="241">
        <v>24</v>
      </c>
      <c r="C50" s="74">
        <f t="shared" ca="1" si="5"/>
        <v>44760</v>
      </c>
      <c r="D50" s="56"/>
      <c r="E50" s="45"/>
      <c r="F50" s="45"/>
      <c r="G50" s="56"/>
      <c r="H50" s="73">
        <f t="shared" si="0"/>
        <v>0</v>
      </c>
      <c r="I50" s="289">
        <f t="shared" si="12"/>
        <v>0</v>
      </c>
      <c r="J50" s="289">
        <f t="shared" si="13"/>
        <v>7.6409370845240462E-3</v>
      </c>
      <c r="K50" s="241">
        <v>24</v>
      </c>
      <c r="L50" s="74">
        <f t="shared" ca="1" si="7"/>
        <v>44760</v>
      </c>
      <c r="M50" s="56"/>
      <c r="N50" s="56"/>
      <c r="O50" s="56"/>
      <c r="P50" s="56"/>
      <c r="Q50" s="73">
        <f t="shared" si="2"/>
        <v>0</v>
      </c>
      <c r="S50" s="241">
        <v>24</v>
      </c>
      <c r="T50" s="74">
        <f t="shared" ca="1" si="8"/>
        <v>44760</v>
      </c>
      <c r="U50" s="56"/>
      <c r="V50" s="56"/>
      <c r="W50" s="73">
        <f t="shared" si="10"/>
        <v>127238.61111111111</v>
      </c>
      <c r="X50" s="56"/>
      <c r="Y50" s="73">
        <f t="shared" si="3"/>
        <v>127238.61111111111</v>
      </c>
      <c r="AA50" s="241">
        <v>24</v>
      </c>
      <c r="AB50" s="74">
        <f t="shared" ca="1" si="9"/>
        <v>44760</v>
      </c>
      <c r="AC50" s="56"/>
      <c r="AD50" s="56"/>
      <c r="AE50" s="73">
        <f t="shared" si="11"/>
        <v>109061.66666666667</v>
      </c>
      <c r="AF50" s="56"/>
      <c r="AG50" s="73">
        <f t="shared" si="4"/>
        <v>109061.66666666667</v>
      </c>
    </row>
    <row r="51" spans="2:33" x14ac:dyDescent="0.45">
      <c r="B51" s="241">
        <v>25</v>
      </c>
      <c r="C51" s="74">
        <f t="shared" ca="1" si="5"/>
        <v>44791</v>
      </c>
      <c r="D51" s="56"/>
      <c r="E51" s="45"/>
      <c r="F51" s="45"/>
      <c r="G51" s="56"/>
      <c r="H51" s="73">
        <f t="shared" si="0"/>
        <v>0</v>
      </c>
      <c r="I51" s="289">
        <f t="shared" si="12"/>
        <v>0</v>
      </c>
      <c r="J51" s="289">
        <f t="shared" si="13"/>
        <v>7.6409370845240462E-3</v>
      </c>
      <c r="K51" s="241">
        <v>25</v>
      </c>
      <c r="L51" s="74">
        <f t="shared" ca="1" si="7"/>
        <v>44791</v>
      </c>
      <c r="M51" s="56"/>
      <c r="N51" s="56"/>
      <c r="O51" s="56"/>
      <c r="P51" s="56"/>
      <c r="Q51" s="73">
        <f t="shared" si="2"/>
        <v>0</v>
      </c>
      <c r="S51" s="241">
        <v>25</v>
      </c>
      <c r="T51" s="74">
        <f t="shared" ca="1" si="8"/>
        <v>44791</v>
      </c>
      <c r="U51" s="56"/>
      <c r="V51" s="56"/>
      <c r="W51" s="73">
        <f t="shared" si="10"/>
        <v>127238.61111111111</v>
      </c>
      <c r="X51" s="56"/>
      <c r="Y51" s="73">
        <f t="shared" si="3"/>
        <v>127238.61111111111</v>
      </c>
      <c r="AA51" s="241">
        <v>25</v>
      </c>
      <c r="AB51" s="74">
        <f t="shared" ca="1" si="9"/>
        <v>44791</v>
      </c>
      <c r="AC51" s="56"/>
      <c r="AD51" s="56"/>
      <c r="AE51" s="73">
        <f t="shared" si="11"/>
        <v>109061.66666666667</v>
      </c>
      <c r="AF51" s="56"/>
      <c r="AG51" s="73">
        <f t="shared" si="4"/>
        <v>109061.66666666667</v>
      </c>
    </row>
    <row r="52" spans="2:33" x14ac:dyDescent="0.45">
      <c r="B52" s="241">
        <v>26</v>
      </c>
      <c r="C52" s="74">
        <f t="shared" ca="1" si="5"/>
        <v>44822</v>
      </c>
      <c r="D52" s="45"/>
      <c r="E52" s="45"/>
      <c r="F52" s="45"/>
      <c r="G52" s="56"/>
      <c r="H52" s="73">
        <f t="shared" si="0"/>
        <v>0</v>
      </c>
      <c r="I52" s="289">
        <f t="shared" si="12"/>
        <v>0</v>
      </c>
      <c r="J52" s="289">
        <f t="shared" si="13"/>
        <v>7.6409370845240462E-3</v>
      </c>
      <c r="K52" s="241">
        <v>26</v>
      </c>
      <c r="L52" s="74">
        <f t="shared" ca="1" si="7"/>
        <v>44822</v>
      </c>
      <c r="M52" s="56"/>
      <c r="N52" s="56"/>
      <c r="O52" s="56"/>
      <c r="P52" s="56"/>
      <c r="Q52" s="73">
        <f t="shared" si="2"/>
        <v>0</v>
      </c>
      <c r="S52" s="241">
        <v>26</v>
      </c>
      <c r="T52" s="74">
        <f t="shared" ca="1" si="8"/>
        <v>44822</v>
      </c>
      <c r="U52" s="56"/>
      <c r="V52" s="56"/>
      <c r="W52" s="73">
        <f t="shared" si="10"/>
        <v>127238.61111111111</v>
      </c>
      <c r="X52" s="56"/>
      <c r="Y52" s="73">
        <f t="shared" si="3"/>
        <v>127238.61111111111</v>
      </c>
      <c r="AA52" s="241">
        <v>26</v>
      </c>
      <c r="AB52" s="74">
        <f t="shared" ca="1" si="9"/>
        <v>44822</v>
      </c>
      <c r="AC52" s="56"/>
      <c r="AD52" s="56"/>
      <c r="AE52" s="73">
        <f t="shared" si="11"/>
        <v>109061.66666666667</v>
      </c>
      <c r="AF52" s="56"/>
      <c r="AG52" s="73">
        <f t="shared" si="4"/>
        <v>109061.66666666667</v>
      </c>
    </row>
    <row r="53" spans="2:33" x14ac:dyDescent="0.45">
      <c r="B53" s="241">
        <v>27</v>
      </c>
      <c r="C53" s="74">
        <f t="shared" ca="1" si="5"/>
        <v>44852</v>
      </c>
      <c r="D53" s="56"/>
      <c r="E53" s="45"/>
      <c r="F53" s="45"/>
      <c r="G53" s="56"/>
      <c r="H53" s="73">
        <f t="shared" si="0"/>
        <v>0</v>
      </c>
      <c r="I53" s="289">
        <f t="shared" si="12"/>
        <v>0</v>
      </c>
      <c r="J53" s="289">
        <f t="shared" si="13"/>
        <v>7.6409370845240462E-3</v>
      </c>
      <c r="K53" s="241">
        <v>27</v>
      </c>
      <c r="L53" s="74">
        <f t="shared" ca="1" si="7"/>
        <v>44852</v>
      </c>
      <c r="M53" s="56"/>
      <c r="N53" s="56"/>
      <c r="O53" s="56"/>
      <c r="P53" s="56"/>
      <c r="Q53" s="73">
        <f t="shared" si="2"/>
        <v>0</v>
      </c>
      <c r="S53" s="241">
        <v>27</v>
      </c>
      <c r="T53" s="74">
        <f t="shared" ca="1" si="8"/>
        <v>44852</v>
      </c>
      <c r="U53" s="56"/>
      <c r="V53" s="56"/>
      <c r="W53" s="73">
        <f t="shared" si="10"/>
        <v>127238.61111111111</v>
      </c>
      <c r="X53" s="56"/>
      <c r="Y53" s="73">
        <f t="shared" si="3"/>
        <v>127238.61111111111</v>
      </c>
      <c r="AA53" s="241">
        <v>27</v>
      </c>
      <c r="AB53" s="74">
        <f t="shared" ca="1" si="9"/>
        <v>44852</v>
      </c>
      <c r="AC53" s="56"/>
      <c r="AD53" s="56"/>
      <c r="AE53" s="45">
        <f>AC16-SUM(AC27:AE52)</f>
        <v>3271850.0000000009</v>
      </c>
      <c r="AF53" s="56"/>
      <c r="AG53" s="73">
        <f t="shared" si="4"/>
        <v>3271850.0000000009</v>
      </c>
    </row>
    <row r="54" spans="2:33" x14ac:dyDescent="0.45">
      <c r="B54" s="241">
        <v>28</v>
      </c>
      <c r="C54" s="74">
        <f t="shared" ca="1" si="5"/>
        <v>44883</v>
      </c>
      <c r="D54" s="56"/>
      <c r="E54" s="45"/>
      <c r="F54" s="45"/>
      <c r="G54" s="56"/>
      <c r="H54" s="73">
        <f t="shared" si="0"/>
        <v>0</v>
      </c>
      <c r="I54" s="289">
        <f t="shared" si="12"/>
        <v>0</v>
      </c>
      <c r="J54" s="289">
        <f t="shared" si="13"/>
        <v>7.6409370845240462E-3</v>
      </c>
      <c r="K54" s="241">
        <v>28</v>
      </c>
      <c r="L54" s="74">
        <f t="shared" ca="1" si="7"/>
        <v>44883</v>
      </c>
      <c r="M54" s="56"/>
      <c r="N54" s="56"/>
      <c r="O54" s="56"/>
      <c r="P54" s="56"/>
      <c r="Q54" s="73">
        <f t="shared" si="2"/>
        <v>0</v>
      </c>
      <c r="S54" s="241">
        <v>28</v>
      </c>
      <c r="T54" s="74">
        <f t="shared" ca="1" si="8"/>
        <v>44883</v>
      </c>
      <c r="U54" s="56"/>
      <c r="V54" s="56"/>
      <c r="W54" s="73">
        <f t="shared" si="10"/>
        <v>127238.61111111111</v>
      </c>
      <c r="X54" s="56"/>
      <c r="Y54" s="73">
        <f t="shared" si="3"/>
        <v>127238.61111111111</v>
      </c>
      <c r="AA54" s="241">
        <v>28</v>
      </c>
      <c r="AB54" s="74">
        <f t="shared" ca="1" si="9"/>
        <v>44883</v>
      </c>
      <c r="AC54" s="56"/>
      <c r="AD54" s="56"/>
      <c r="AE54" s="56"/>
      <c r="AF54" s="56"/>
      <c r="AG54" s="73">
        <f t="shared" si="4"/>
        <v>0</v>
      </c>
    </row>
    <row r="55" spans="2:33" x14ac:dyDescent="0.45">
      <c r="B55" s="241">
        <v>29</v>
      </c>
      <c r="C55" s="74">
        <f t="shared" ca="1" si="5"/>
        <v>44913</v>
      </c>
      <c r="D55" s="56"/>
      <c r="E55" s="45"/>
      <c r="F55" s="45"/>
      <c r="G55" s="56"/>
      <c r="H55" s="73">
        <f t="shared" si="0"/>
        <v>0</v>
      </c>
      <c r="I55" s="289">
        <f t="shared" si="12"/>
        <v>0</v>
      </c>
      <c r="J55" s="289">
        <f t="shared" si="13"/>
        <v>7.6409370845240462E-3</v>
      </c>
      <c r="K55" s="241">
        <v>29</v>
      </c>
      <c r="L55" s="74">
        <f t="shared" ca="1" si="7"/>
        <v>44913</v>
      </c>
      <c r="M55" s="56"/>
      <c r="N55" s="56"/>
      <c r="O55" s="56"/>
      <c r="P55" s="56"/>
      <c r="Q55" s="73">
        <f t="shared" si="2"/>
        <v>0</v>
      </c>
      <c r="S55" s="241">
        <v>29</v>
      </c>
      <c r="T55" s="74">
        <f t="shared" ca="1" si="8"/>
        <v>44913</v>
      </c>
      <c r="U55" s="56"/>
      <c r="V55" s="56"/>
      <c r="W55" s="73">
        <f t="shared" si="10"/>
        <v>127238.61111111111</v>
      </c>
      <c r="X55" s="56"/>
      <c r="Y55" s="73">
        <f t="shared" si="3"/>
        <v>127238.61111111111</v>
      </c>
      <c r="AA55" s="241">
        <v>29</v>
      </c>
      <c r="AB55" s="74">
        <f t="shared" ca="1" si="9"/>
        <v>44913</v>
      </c>
      <c r="AC55" s="56"/>
      <c r="AD55" s="56"/>
      <c r="AE55" s="56"/>
      <c r="AF55" s="56"/>
      <c r="AG55" s="73">
        <f t="shared" si="4"/>
        <v>0</v>
      </c>
    </row>
    <row r="56" spans="2:33" x14ac:dyDescent="0.45">
      <c r="B56" s="241">
        <v>30</v>
      </c>
      <c r="C56" s="74">
        <f t="shared" ca="1" si="5"/>
        <v>44944</v>
      </c>
      <c r="D56" s="56"/>
      <c r="E56" s="45"/>
      <c r="F56" s="45"/>
      <c r="G56" s="56"/>
      <c r="H56" s="73">
        <f t="shared" si="0"/>
        <v>0</v>
      </c>
      <c r="I56" s="289">
        <f t="shared" si="12"/>
        <v>0</v>
      </c>
      <c r="J56" s="289">
        <f t="shared" si="13"/>
        <v>7.6409370845240462E-3</v>
      </c>
      <c r="K56" s="241">
        <v>30</v>
      </c>
      <c r="L56" s="74">
        <f t="shared" ca="1" si="7"/>
        <v>44944</v>
      </c>
      <c r="M56" s="56"/>
      <c r="N56" s="56"/>
      <c r="O56" s="56"/>
      <c r="P56" s="56"/>
      <c r="Q56" s="73">
        <f t="shared" si="2"/>
        <v>0</v>
      </c>
      <c r="S56" s="241">
        <v>30</v>
      </c>
      <c r="T56" s="74">
        <f t="shared" ca="1" si="8"/>
        <v>44944</v>
      </c>
      <c r="U56" s="56"/>
      <c r="V56" s="56"/>
      <c r="W56" s="73">
        <f t="shared" si="10"/>
        <v>127238.61111111111</v>
      </c>
      <c r="X56" s="56"/>
      <c r="Y56" s="73">
        <f t="shared" si="3"/>
        <v>127238.61111111111</v>
      </c>
      <c r="AA56" s="241">
        <v>30</v>
      </c>
      <c r="AB56" s="74">
        <f t="shared" ca="1" si="9"/>
        <v>44944</v>
      </c>
      <c r="AC56" s="56"/>
      <c r="AD56" s="56"/>
      <c r="AE56" s="56"/>
      <c r="AF56" s="56"/>
      <c r="AG56" s="73">
        <f t="shared" si="4"/>
        <v>0</v>
      </c>
    </row>
    <row r="57" spans="2:33" x14ac:dyDescent="0.45">
      <c r="B57" s="241">
        <v>31</v>
      </c>
      <c r="C57" s="74">
        <f t="shared" ca="1" si="5"/>
        <v>44975</v>
      </c>
      <c r="D57" s="56"/>
      <c r="E57" s="45"/>
      <c r="F57" s="45"/>
      <c r="G57" s="56"/>
      <c r="H57" s="73">
        <f t="shared" si="0"/>
        <v>0</v>
      </c>
      <c r="I57" s="289">
        <f t="shared" si="12"/>
        <v>0</v>
      </c>
      <c r="J57" s="289">
        <f t="shared" si="13"/>
        <v>7.6409370845240462E-3</v>
      </c>
      <c r="K57" s="241">
        <v>31</v>
      </c>
      <c r="L57" s="74">
        <f t="shared" ca="1" si="7"/>
        <v>44975</v>
      </c>
      <c r="M57" s="56"/>
      <c r="N57" s="56"/>
      <c r="O57" s="56"/>
      <c r="P57" s="56"/>
      <c r="Q57" s="73">
        <f t="shared" si="2"/>
        <v>0</v>
      </c>
      <c r="S57" s="241">
        <v>31</v>
      </c>
      <c r="T57" s="74">
        <f t="shared" ca="1" si="8"/>
        <v>44975</v>
      </c>
      <c r="U57" s="56"/>
      <c r="V57" s="56"/>
      <c r="W57" s="73">
        <f t="shared" si="10"/>
        <v>127238.61111111111</v>
      </c>
      <c r="X57" s="56"/>
      <c r="Y57" s="73">
        <f t="shared" si="3"/>
        <v>127238.61111111111</v>
      </c>
      <c r="AA57" s="241">
        <v>31</v>
      </c>
      <c r="AB57" s="74">
        <f t="shared" ca="1" si="9"/>
        <v>44975</v>
      </c>
      <c r="AC57" s="56"/>
      <c r="AD57" s="56"/>
      <c r="AE57" s="56"/>
      <c r="AF57" s="56"/>
      <c r="AG57" s="73">
        <f t="shared" si="4"/>
        <v>0</v>
      </c>
    </row>
    <row r="58" spans="2:33" x14ac:dyDescent="0.45">
      <c r="B58" s="241">
        <v>32</v>
      </c>
      <c r="C58" s="74">
        <f t="shared" ca="1" si="5"/>
        <v>45003</v>
      </c>
      <c r="D58" s="56"/>
      <c r="E58" s="45"/>
      <c r="F58" s="45"/>
      <c r="G58" s="56"/>
      <c r="H58" s="73">
        <f t="shared" si="0"/>
        <v>0</v>
      </c>
      <c r="I58" s="289">
        <f t="shared" si="12"/>
        <v>0</v>
      </c>
      <c r="J58" s="289">
        <f t="shared" si="13"/>
        <v>7.6409370845240462E-3</v>
      </c>
      <c r="K58" s="241">
        <v>32</v>
      </c>
      <c r="L58" s="74">
        <f t="shared" ca="1" si="7"/>
        <v>45003</v>
      </c>
      <c r="M58" s="56"/>
      <c r="N58" s="56"/>
      <c r="O58" s="56"/>
      <c r="P58" s="56"/>
      <c r="Q58" s="73">
        <f t="shared" si="2"/>
        <v>0</v>
      </c>
      <c r="S58" s="241">
        <v>32</v>
      </c>
      <c r="T58" s="74">
        <f t="shared" ca="1" si="8"/>
        <v>45003</v>
      </c>
      <c r="U58" s="56"/>
      <c r="V58" s="56"/>
      <c r="W58" s="73">
        <f t="shared" si="10"/>
        <v>127238.61111111111</v>
      </c>
      <c r="X58" s="56"/>
      <c r="Y58" s="73">
        <f t="shared" si="3"/>
        <v>127238.61111111111</v>
      </c>
      <c r="AA58" s="241">
        <v>32</v>
      </c>
      <c r="AB58" s="74">
        <f t="shared" ca="1" si="9"/>
        <v>45003</v>
      </c>
      <c r="AC58" s="56"/>
      <c r="AD58" s="56"/>
      <c r="AE58" s="56"/>
      <c r="AF58" s="56"/>
      <c r="AG58" s="73">
        <f t="shared" si="4"/>
        <v>0</v>
      </c>
    </row>
    <row r="59" spans="2:33" x14ac:dyDescent="0.45">
      <c r="B59" s="241">
        <v>33</v>
      </c>
      <c r="C59" s="74">
        <f t="shared" ca="1" si="5"/>
        <v>45034</v>
      </c>
      <c r="D59" s="56"/>
      <c r="E59" s="45"/>
      <c r="F59" s="45"/>
      <c r="G59" s="56"/>
      <c r="H59" s="73">
        <f t="shared" si="0"/>
        <v>0</v>
      </c>
      <c r="I59" s="289">
        <f t="shared" si="12"/>
        <v>0</v>
      </c>
      <c r="J59" s="289">
        <f t="shared" si="13"/>
        <v>7.6409370845240462E-3</v>
      </c>
      <c r="K59" s="241">
        <v>33</v>
      </c>
      <c r="L59" s="74">
        <f t="shared" ca="1" si="7"/>
        <v>45034</v>
      </c>
      <c r="M59" s="56"/>
      <c r="N59" s="56"/>
      <c r="O59" s="56"/>
      <c r="P59" s="56"/>
      <c r="Q59" s="73">
        <f t="shared" si="2"/>
        <v>0</v>
      </c>
      <c r="S59" s="241">
        <v>33</v>
      </c>
      <c r="T59" s="74">
        <f t="shared" ca="1" si="8"/>
        <v>45034</v>
      </c>
      <c r="U59" s="56"/>
      <c r="V59" s="56"/>
      <c r="W59" s="73">
        <f t="shared" si="10"/>
        <v>127238.61111111111</v>
      </c>
      <c r="X59" s="56"/>
      <c r="Y59" s="73">
        <f t="shared" si="3"/>
        <v>127238.61111111111</v>
      </c>
      <c r="AA59" s="241">
        <v>33</v>
      </c>
      <c r="AB59" s="74">
        <f t="shared" ca="1" si="9"/>
        <v>45034</v>
      </c>
      <c r="AC59" s="56"/>
      <c r="AD59" s="56"/>
      <c r="AE59" s="56"/>
      <c r="AF59" s="56"/>
      <c r="AG59" s="73">
        <f t="shared" si="4"/>
        <v>0</v>
      </c>
    </row>
    <row r="60" spans="2:33" x14ac:dyDescent="0.45">
      <c r="B60" s="241">
        <v>34</v>
      </c>
      <c r="C60" s="74">
        <f t="shared" ca="1" si="5"/>
        <v>45064</v>
      </c>
      <c r="D60" s="56"/>
      <c r="E60" s="45"/>
      <c r="F60" s="45"/>
      <c r="G60" s="56"/>
      <c r="H60" s="73">
        <f t="shared" si="0"/>
        <v>0</v>
      </c>
      <c r="I60" s="289">
        <f t="shared" si="12"/>
        <v>0</v>
      </c>
      <c r="J60" s="289">
        <f t="shared" si="13"/>
        <v>7.6409370845240462E-3</v>
      </c>
      <c r="K60" s="241">
        <v>34</v>
      </c>
      <c r="L60" s="74">
        <f t="shared" ca="1" si="7"/>
        <v>45064</v>
      </c>
      <c r="M60" s="56"/>
      <c r="N60" s="56"/>
      <c r="O60" s="56"/>
      <c r="P60" s="56"/>
      <c r="Q60" s="73">
        <f t="shared" si="2"/>
        <v>0</v>
      </c>
      <c r="S60" s="241">
        <v>34</v>
      </c>
      <c r="T60" s="74">
        <f t="shared" ca="1" si="8"/>
        <v>45064</v>
      </c>
      <c r="U60" s="56"/>
      <c r="V60" s="56"/>
      <c r="W60" s="73">
        <f t="shared" si="10"/>
        <v>127238.61111111111</v>
      </c>
      <c r="X60" s="56"/>
      <c r="Y60" s="73">
        <f t="shared" si="3"/>
        <v>127238.61111111111</v>
      </c>
      <c r="AA60" s="241">
        <v>34</v>
      </c>
      <c r="AB60" s="74">
        <f t="shared" ca="1" si="9"/>
        <v>45064</v>
      </c>
      <c r="AC60" s="56"/>
      <c r="AD60" s="56"/>
      <c r="AE60" s="56"/>
      <c r="AF60" s="56"/>
      <c r="AG60" s="73">
        <f t="shared" si="4"/>
        <v>0</v>
      </c>
    </row>
    <row r="61" spans="2:33" x14ac:dyDescent="0.45">
      <c r="B61" s="241">
        <v>35</v>
      </c>
      <c r="C61" s="74">
        <f t="shared" ca="1" si="5"/>
        <v>45095</v>
      </c>
      <c r="D61" s="56"/>
      <c r="E61" s="45"/>
      <c r="F61" s="45"/>
      <c r="G61" s="56"/>
      <c r="H61" s="73">
        <f t="shared" si="0"/>
        <v>0</v>
      </c>
      <c r="I61" s="289">
        <f t="shared" si="12"/>
        <v>0</v>
      </c>
      <c r="J61" s="289">
        <f t="shared" si="13"/>
        <v>7.6409370845240462E-3</v>
      </c>
      <c r="K61" s="241">
        <v>35</v>
      </c>
      <c r="L61" s="74">
        <f t="shared" ca="1" si="7"/>
        <v>45095</v>
      </c>
      <c r="M61" s="56"/>
      <c r="N61" s="56"/>
      <c r="O61" s="56"/>
      <c r="P61" s="56"/>
      <c r="Q61" s="73">
        <f t="shared" si="2"/>
        <v>0</v>
      </c>
      <c r="S61" s="241">
        <v>35</v>
      </c>
      <c r="T61" s="74">
        <f t="shared" ca="1" si="8"/>
        <v>45095</v>
      </c>
      <c r="U61" s="56"/>
      <c r="V61" s="56"/>
      <c r="W61" s="73">
        <f t="shared" si="10"/>
        <v>127238.61111111111</v>
      </c>
      <c r="X61" s="56"/>
      <c r="Y61" s="73">
        <f t="shared" si="3"/>
        <v>127238.61111111111</v>
      </c>
      <c r="AA61" s="241">
        <v>35</v>
      </c>
      <c r="AB61" s="74">
        <f t="shared" ca="1" si="9"/>
        <v>45095</v>
      </c>
      <c r="AC61" s="56"/>
      <c r="AD61" s="56"/>
      <c r="AE61" s="56"/>
      <c r="AF61" s="56"/>
      <c r="AG61" s="73">
        <f t="shared" si="4"/>
        <v>0</v>
      </c>
    </row>
    <row r="62" spans="2:33" x14ac:dyDescent="0.45">
      <c r="B62" s="241">
        <v>36</v>
      </c>
      <c r="C62" s="74">
        <f t="shared" ca="1" si="5"/>
        <v>45125</v>
      </c>
      <c r="D62" s="56"/>
      <c r="E62" s="45"/>
      <c r="F62" s="45"/>
      <c r="G62" s="56"/>
      <c r="H62" s="73">
        <f t="shared" si="0"/>
        <v>0</v>
      </c>
      <c r="I62" s="289">
        <f t="shared" si="12"/>
        <v>0</v>
      </c>
      <c r="J62" s="289">
        <f t="shared" si="13"/>
        <v>7.6409370845240462E-3</v>
      </c>
      <c r="K62" s="241">
        <v>36</v>
      </c>
      <c r="L62" s="74">
        <f t="shared" ca="1" si="7"/>
        <v>45125</v>
      </c>
      <c r="M62" s="56"/>
      <c r="N62" s="56"/>
      <c r="O62" s="56"/>
      <c r="P62" s="56"/>
      <c r="Q62" s="73">
        <f t="shared" si="2"/>
        <v>0</v>
      </c>
      <c r="S62" s="241">
        <v>36</v>
      </c>
      <c r="T62" s="74">
        <f t="shared" ca="1" si="8"/>
        <v>45125</v>
      </c>
      <c r="U62" s="56"/>
      <c r="V62" s="56"/>
      <c r="W62" s="73">
        <f t="shared" si="10"/>
        <v>127238.61111111111</v>
      </c>
      <c r="X62" s="56"/>
      <c r="Y62" s="73">
        <f t="shared" si="3"/>
        <v>127238.61111111111</v>
      </c>
      <c r="AA62" s="241">
        <v>36</v>
      </c>
      <c r="AB62" s="74">
        <f t="shared" ca="1" si="9"/>
        <v>45125</v>
      </c>
      <c r="AC62" s="56"/>
      <c r="AD62" s="56"/>
      <c r="AE62" s="56"/>
      <c r="AF62" s="56"/>
      <c r="AG62" s="73">
        <f t="shared" si="4"/>
        <v>0</v>
      </c>
    </row>
    <row r="63" spans="2:33" x14ac:dyDescent="0.45">
      <c r="B63" s="241">
        <v>37</v>
      </c>
      <c r="C63" s="74">
        <f t="shared" ca="1" si="5"/>
        <v>45156</v>
      </c>
      <c r="D63" s="56"/>
      <c r="E63" s="45"/>
      <c r="F63" s="45"/>
      <c r="G63" s="56"/>
      <c r="H63" s="73">
        <f t="shared" si="0"/>
        <v>0</v>
      </c>
      <c r="I63" s="289">
        <f t="shared" si="12"/>
        <v>0</v>
      </c>
      <c r="J63" s="289">
        <f t="shared" si="13"/>
        <v>7.6409370845240462E-3</v>
      </c>
      <c r="K63" s="241">
        <v>37</v>
      </c>
      <c r="L63" s="74">
        <f t="shared" ca="1" si="7"/>
        <v>45156</v>
      </c>
      <c r="M63" s="56"/>
      <c r="N63" s="56"/>
      <c r="O63" s="56"/>
      <c r="P63" s="56"/>
      <c r="Q63" s="73">
        <f t="shared" si="2"/>
        <v>0</v>
      </c>
      <c r="S63" s="241">
        <v>37</v>
      </c>
      <c r="T63" s="74">
        <f t="shared" ca="1" si="8"/>
        <v>45156</v>
      </c>
      <c r="U63" s="56"/>
      <c r="V63" s="56"/>
      <c r="W63" s="73">
        <f t="shared" si="10"/>
        <v>127238.61111111111</v>
      </c>
      <c r="X63" s="56"/>
      <c r="Y63" s="73">
        <f t="shared" si="3"/>
        <v>127238.61111111111</v>
      </c>
      <c r="AA63" s="241">
        <v>37</v>
      </c>
      <c r="AB63" s="74">
        <f t="shared" ca="1" si="9"/>
        <v>45156</v>
      </c>
      <c r="AC63" s="56"/>
      <c r="AD63" s="56"/>
      <c r="AE63" s="56"/>
      <c r="AF63" s="56"/>
      <c r="AG63" s="73">
        <f t="shared" si="4"/>
        <v>0</v>
      </c>
    </row>
    <row r="64" spans="2:33" x14ac:dyDescent="0.45">
      <c r="B64" s="241">
        <v>38</v>
      </c>
      <c r="C64" s="74">
        <f t="shared" ca="1" si="5"/>
        <v>45187</v>
      </c>
      <c r="D64" s="56"/>
      <c r="E64" s="45"/>
      <c r="F64" s="45"/>
      <c r="G64" s="56"/>
      <c r="H64" s="73">
        <f t="shared" si="0"/>
        <v>0</v>
      </c>
      <c r="I64" s="289">
        <f t="shared" si="12"/>
        <v>0</v>
      </c>
      <c r="J64" s="289">
        <f t="shared" si="13"/>
        <v>7.6409370845240462E-3</v>
      </c>
      <c r="K64" s="241">
        <v>38</v>
      </c>
      <c r="L64" s="74">
        <f t="shared" ca="1" si="7"/>
        <v>45187</v>
      </c>
      <c r="M64" s="56"/>
      <c r="N64" s="56"/>
      <c r="O64" s="56"/>
      <c r="P64" s="56"/>
      <c r="Q64" s="73">
        <f t="shared" si="2"/>
        <v>0</v>
      </c>
      <c r="S64" s="241">
        <v>38</v>
      </c>
      <c r="T64" s="74">
        <f t="shared" ca="1" si="8"/>
        <v>45187</v>
      </c>
      <c r="U64" s="56"/>
      <c r="V64" s="56"/>
      <c r="W64" s="73">
        <f t="shared" si="10"/>
        <v>127238.61111111111</v>
      </c>
      <c r="X64" s="56"/>
      <c r="Y64" s="73">
        <f t="shared" si="3"/>
        <v>127238.61111111111</v>
      </c>
      <c r="AA64" s="241">
        <v>38</v>
      </c>
      <c r="AB64" s="74">
        <f t="shared" ca="1" si="9"/>
        <v>45187</v>
      </c>
      <c r="AC64" s="56"/>
      <c r="AD64" s="56"/>
      <c r="AE64" s="56"/>
      <c r="AF64" s="56"/>
      <c r="AG64" s="73">
        <f t="shared" si="4"/>
        <v>0</v>
      </c>
    </row>
    <row r="65" spans="2:33" x14ac:dyDescent="0.45">
      <c r="B65" s="241">
        <v>39</v>
      </c>
      <c r="C65" s="74">
        <f t="shared" ca="1" si="5"/>
        <v>45217</v>
      </c>
      <c r="D65" s="56"/>
      <c r="E65" s="45"/>
      <c r="F65" s="45"/>
      <c r="G65" s="56"/>
      <c r="H65" s="73">
        <f t="shared" si="0"/>
        <v>0</v>
      </c>
      <c r="I65" s="289">
        <f t="shared" si="12"/>
        <v>0</v>
      </c>
      <c r="J65" s="289">
        <f t="shared" si="13"/>
        <v>7.6409370845240462E-3</v>
      </c>
      <c r="K65" s="241">
        <f>K64+1</f>
        <v>39</v>
      </c>
      <c r="L65" s="74">
        <f t="shared" ca="1" si="7"/>
        <v>45217</v>
      </c>
      <c r="M65" s="56"/>
      <c r="N65" s="56"/>
      <c r="O65" s="56"/>
      <c r="P65" s="56"/>
      <c r="Q65" s="73"/>
      <c r="S65" s="241"/>
      <c r="T65" s="74"/>
      <c r="U65" s="56"/>
      <c r="V65" s="56"/>
      <c r="W65" s="56"/>
      <c r="X65" s="56"/>
      <c r="Y65" s="73"/>
      <c r="AA65" s="241"/>
      <c r="AB65" s="74"/>
      <c r="AC65" s="56"/>
      <c r="AD65" s="56"/>
      <c r="AE65" s="56"/>
      <c r="AF65" s="56"/>
      <c r="AG65" s="73"/>
    </row>
    <row r="66" spans="2:33" x14ac:dyDescent="0.45">
      <c r="B66" s="241">
        <v>40</v>
      </c>
      <c r="C66" s="74">
        <f t="shared" ca="1" si="5"/>
        <v>45248</v>
      </c>
      <c r="D66" s="56"/>
      <c r="E66" s="45"/>
      <c r="F66" s="45"/>
      <c r="G66" s="56"/>
      <c r="H66" s="73">
        <f t="shared" si="0"/>
        <v>0</v>
      </c>
      <c r="I66" s="289">
        <f t="shared" si="12"/>
        <v>0</v>
      </c>
      <c r="J66" s="289">
        <f t="shared" si="13"/>
        <v>7.6409370845240462E-3</v>
      </c>
      <c r="K66" s="241">
        <f t="shared" ref="K66:K72" si="14">K65+1</f>
        <v>40</v>
      </c>
      <c r="L66" s="74">
        <f t="shared" ca="1" si="7"/>
        <v>45248</v>
      </c>
      <c r="M66" s="56"/>
      <c r="N66" s="56"/>
      <c r="O66" s="56"/>
      <c r="P66" s="56"/>
      <c r="Q66" s="73"/>
      <c r="S66" s="241"/>
      <c r="T66" s="74"/>
      <c r="U66" s="56"/>
      <c r="V66" s="56"/>
      <c r="W66" s="56"/>
      <c r="X66" s="56"/>
      <c r="Y66" s="73"/>
      <c r="AA66" s="241"/>
      <c r="AB66" s="74"/>
      <c r="AC66" s="56"/>
      <c r="AD66" s="56"/>
      <c r="AE66" s="56"/>
      <c r="AF66" s="56"/>
      <c r="AG66" s="73"/>
    </row>
    <row r="67" spans="2:33" x14ac:dyDescent="0.45">
      <c r="B67" s="241">
        <v>41</v>
      </c>
      <c r="C67" s="74">
        <f t="shared" ca="1" si="5"/>
        <v>45278</v>
      </c>
      <c r="D67" s="56"/>
      <c r="E67" s="45"/>
      <c r="F67" s="45"/>
      <c r="G67" s="56"/>
      <c r="H67" s="73">
        <f t="shared" si="0"/>
        <v>0</v>
      </c>
      <c r="I67" s="289">
        <f t="shared" si="12"/>
        <v>0</v>
      </c>
      <c r="J67" s="289">
        <f t="shared" si="13"/>
        <v>7.6409370845240462E-3</v>
      </c>
      <c r="K67" s="241">
        <f t="shared" si="14"/>
        <v>41</v>
      </c>
      <c r="L67" s="74">
        <f t="shared" ca="1" si="7"/>
        <v>45278</v>
      </c>
      <c r="M67" s="56"/>
      <c r="N67" s="56"/>
      <c r="O67" s="56"/>
      <c r="P67" s="56"/>
      <c r="Q67" s="73"/>
      <c r="S67" s="241"/>
      <c r="T67" s="74"/>
      <c r="U67" s="56"/>
      <c r="V67" s="56"/>
      <c r="W67" s="56"/>
      <c r="X67" s="56"/>
      <c r="Y67" s="73"/>
      <c r="AA67" s="241"/>
      <c r="AB67" s="74"/>
      <c r="AC67" s="56"/>
      <c r="AD67" s="56"/>
      <c r="AE67" s="56"/>
      <c r="AF67" s="56"/>
      <c r="AG67" s="73"/>
    </row>
    <row r="68" spans="2:33" x14ac:dyDescent="0.45">
      <c r="B68" s="241">
        <v>42</v>
      </c>
      <c r="C68" s="74">
        <f t="shared" ca="1" si="5"/>
        <v>45309</v>
      </c>
      <c r="D68" s="56"/>
      <c r="E68" s="45"/>
      <c r="F68" s="45"/>
      <c r="G68" s="56"/>
      <c r="H68" s="73">
        <f t="shared" si="0"/>
        <v>0</v>
      </c>
      <c r="I68" s="289">
        <f t="shared" si="12"/>
        <v>0</v>
      </c>
      <c r="J68" s="289">
        <f t="shared" si="13"/>
        <v>7.6409370845240462E-3</v>
      </c>
      <c r="K68" s="241">
        <f t="shared" si="14"/>
        <v>42</v>
      </c>
      <c r="L68" s="74">
        <f t="shared" ca="1" si="7"/>
        <v>45309</v>
      </c>
      <c r="M68" s="56"/>
      <c r="N68" s="56"/>
      <c r="O68" s="56"/>
      <c r="P68" s="56"/>
      <c r="Q68" s="73"/>
      <c r="S68" s="241"/>
      <c r="T68" s="74"/>
      <c r="U68" s="56"/>
      <c r="V68" s="56"/>
      <c r="W68" s="56"/>
      <c r="X68" s="56"/>
      <c r="Y68" s="73"/>
      <c r="AA68" s="241"/>
      <c r="AB68" s="74"/>
      <c r="AC68" s="56"/>
      <c r="AD68" s="56"/>
      <c r="AE68" s="56"/>
      <c r="AF68" s="56"/>
      <c r="AG68" s="73"/>
    </row>
    <row r="69" spans="2:33" x14ac:dyDescent="0.45">
      <c r="B69" s="241">
        <v>43</v>
      </c>
      <c r="C69" s="74">
        <f t="shared" ca="1" si="5"/>
        <v>45340</v>
      </c>
      <c r="D69" s="56"/>
      <c r="E69" s="45"/>
      <c r="F69" s="45"/>
      <c r="G69" s="56"/>
      <c r="H69" s="73">
        <f t="shared" si="0"/>
        <v>0</v>
      </c>
      <c r="I69" s="289">
        <f t="shared" si="12"/>
        <v>0</v>
      </c>
      <c r="J69" s="289">
        <f t="shared" si="13"/>
        <v>7.6409370845240462E-3</v>
      </c>
      <c r="K69" s="241">
        <f t="shared" si="14"/>
        <v>43</v>
      </c>
      <c r="L69" s="74">
        <f t="shared" ca="1" si="7"/>
        <v>45340</v>
      </c>
      <c r="M69" s="56"/>
      <c r="N69" s="56"/>
      <c r="O69" s="56"/>
      <c r="P69" s="56"/>
      <c r="Q69" s="73"/>
      <c r="S69" s="241"/>
      <c r="T69" s="74"/>
      <c r="U69" s="56"/>
      <c r="V69" s="56"/>
      <c r="W69" s="56"/>
      <c r="X69" s="56"/>
      <c r="Y69" s="73"/>
      <c r="AA69" s="241"/>
      <c r="AB69" s="74"/>
      <c r="AC69" s="56"/>
      <c r="AD69" s="56"/>
      <c r="AE69" s="56"/>
      <c r="AF69" s="56"/>
      <c r="AG69" s="73"/>
    </row>
    <row r="70" spans="2:33" x14ac:dyDescent="0.45">
      <c r="B70" s="241">
        <v>44</v>
      </c>
      <c r="C70" s="74">
        <f t="shared" ca="1" si="5"/>
        <v>45369</v>
      </c>
      <c r="D70" s="56"/>
      <c r="E70" s="45"/>
      <c r="F70" s="45"/>
      <c r="G70" s="56"/>
      <c r="H70" s="73">
        <f t="shared" si="0"/>
        <v>0</v>
      </c>
      <c r="I70" s="289">
        <f t="shared" si="12"/>
        <v>0</v>
      </c>
      <c r="J70" s="289">
        <f t="shared" si="13"/>
        <v>7.6409370845240462E-3</v>
      </c>
      <c r="K70" s="241">
        <f t="shared" si="14"/>
        <v>44</v>
      </c>
      <c r="L70" s="74">
        <f t="shared" ca="1" si="7"/>
        <v>45369</v>
      </c>
      <c r="M70" s="56"/>
      <c r="N70" s="56"/>
      <c r="O70" s="56"/>
      <c r="P70" s="56"/>
      <c r="Q70" s="73"/>
      <c r="S70" s="241"/>
      <c r="T70" s="74"/>
      <c r="U70" s="56"/>
      <c r="V70" s="56"/>
      <c r="W70" s="56"/>
      <c r="X70" s="56"/>
      <c r="Y70" s="73"/>
      <c r="AA70" s="241"/>
      <c r="AB70" s="74"/>
      <c r="AC70" s="56"/>
      <c r="AD70" s="56"/>
      <c r="AE70" s="56"/>
      <c r="AF70" s="56"/>
      <c r="AG70" s="73"/>
    </row>
    <row r="71" spans="2:33" x14ac:dyDescent="0.45">
      <c r="B71" s="241">
        <v>45</v>
      </c>
      <c r="C71" s="74">
        <f t="shared" ca="1" si="5"/>
        <v>45400</v>
      </c>
      <c r="D71" s="56"/>
      <c r="E71" s="56"/>
      <c r="F71" s="45"/>
      <c r="G71" s="56"/>
      <c r="H71" s="73">
        <f t="shared" si="0"/>
        <v>0</v>
      </c>
      <c r="I71" s="289">
        <f t="shared" si="12"/>
        <v>0</v>
      </c>
      <c r="J71" s="289">
        <f t="shared" si="13"/>
        <v>7.6409370845240462E-3</v>
      </c>
      <c r="K71" s="241">
        <f t="shared" si="14"/>
        <v>45</v>
      </c>
      <c r="L71" s="74">
        <f ca="1">EDATE(L64,1)</f>
        <v>45217</v>
      </c>
      <c r="M71" s="56"/>
      <c r="N71" s="56"/>
      <c r="O71" s="56"/>
      <c r="P71" s="56"/>
      <c r="Q71" s="73">
        <f t="shared" si="2"/>
        <v>0</v>
      </c>
      <c r="S71" s="241">
        <v>39</v>
      </c>
      <c r="T71" s="74">
        <f ca="1">EDATE(T64,1)</f>
        <v>45217</v>
      </c>
      <c r="U71" s="56"/>
      <c r="V71" s="56"/>
      <c r="W71" s="56"/>
      <c r="X71" s="56"/>
      <c r="Y71" s="73">
        <f t="shared" si="3"/>
        <v>0</v>
      </c>
      <c r="AA71" s="241">
        <v>39</v>
      </c>
      <c r="AB71" s="74">
        <f ca="1">EDATE(AB64,1)</f>
        <v>45217</v>
      </c>
      <c r="AC71" s="56"/>
      <c r="AD71" s="56"/>
      <c r="AE71" s="56"/>
      <c r="AF71" s="56"/>
      <c r="AG71" s="73">
        <f t="shared" si="4"/>
        <v>0</v>
      </c>
    </row>
    <row r="72" spans="2:33" x14ac:dyDescent="0.45">
      <c r="B72" s="241">
        <v>46</v>
      </c>
      <c r="C72" s="74">
        <f t="shared" ca="1" si="5"/>
        <v>45430</v>
      </c>
      <c r="D72" s="56"/>
      <c r="E72" s="56"/>
      <c r="F72" s="45"/>
      <c r="G72" s="56"/>
      <c r="H72" s="73">
        <f t="shared" si="0"/>
        <v>0</v>
      </c>
      <c r="I72" s="289">
        <f t="shared" si="12"/>
        <v>0</v>
      </c>
      <c r="J72" s="289">
        <f t="shared" si="13"/>
        <v>7.6409370845240462E-3</v>
      </c>
      <c r="K72" s="241">
        <f t="shared" si="14"/>
        <v>46</v>
      </c>
      <c r="L72" s="74">
        <f t="shared" ca="1" si="7"/>
        <v>45248</v>
      </c>
      <c r="M72" s="56"/>
      <c r="N72" s="56"/>
      <c r="O72" s="56"/>
      <c r="P72" s="56"/>
      <c r="Q72" s="73">
        <f t="shared" si="2"/>
        <v>0</v>
      </c>
      <c r="S72" s="241">
        <v>40</v>
      </c>
      <c r="T72" s="74">
        <f t="shared" ca="1" si="8"/>
        <v>45248</v>
      </c>
      <c r="U72" s="56"/>
      <c r="V72" s="56"/>
      <c r="W72" s="56"/>
      <c r="X72" s="56"/>
      <c r="Y72" s="73">
        <f t="shared" si="3"/>
        <v>0</v>
      </c>
      <c r="AA72" s="241">
        <v>40</v>
      </c>
      <c r="AB72" s="74">
        <f t="shared" ca="1" si="9"/>
        <v>45248</v>
      </c>
      <c r="AC72" s="56"/>
      <c r="AD72" s="56"/>
      <c r="AE72" s="56"/>
      <c r="AF72" s="56"/>
      <c r="AG72" s="73">
        <f t="shared" si="4"/>
        <v>0</v>
      </c>
    </row>
    <row r="73" spans="2:33" s="11" customFormat="1" x14ac:dyDescent="0.45">
      <c r="B73" s="75" t="s">
        <v>633</v>
      </c>
      <c r="C73" s="76"/>
      <c r="D73" s="82">
        <f>SUM(D27:D72)</f>
        <v>50000</v>
      </c>
      <c r="E73" s="82">
        <f>SUM(E27:E72)</f>
        <v>0</v>
      </c>
      <c r="F73" s="82">
        <f>SUM(F27:F72)</f>
        <v>0</v>
      </c>
      <c r="G73" s="82">
        <f>SUM(G27:G72)</f>
        <v>0</v>
      </c>
      <c r="H73" s="82">
        <f>SUM(H27:H72)</f>
        <v>50000</v>
      </c>
      <c r="I73" s="289">
        <f t="shared" si="12"/>
        <v>7.6409370845240462E-3</v>
      </c>
      <c r="J73" s="289">
        <f t="shared" si="13"/>
        <v>1.5281874169048092E-2</v>
      </c>
      <c r="K73" s="75" t="s">
        <v>633</v>
      </c>
      <c r="L73" s="76"/>
      <c r="M73" s="82">
        <f>SUM(M27:M72)</f>
        <v>50000</v>
      </c>
      <c r="N73" s="82">
        <f>SUM(N27:N72)</f>
        <v>5904700</v>
      </c>
      <c r="O73" s="82">
        <f>SUM(O27:O72)</f>
        <v>0</v>
      </c>
      <c r="P73" s="82">
        <f>SUM(P27:P72)</f>
        <v>0</v>
      </c>
      <c r="Q73" s="82">
        <f>SUM(Q27:Q72)</f>
        <v>5954700</v>
      </c>
      <c r="S73" s="75" t="s">
        <v>633</v>
      </c>
      <c r="T73" s="76"/>
      <c r="U73" s="82">
        <f>SUM(U27:U72)</f>
        <v>50000</v>
      </c>
      <c r="V73" s="82">
        <f>SUM(V27:V72)</f>
        <v>1913110</v>
      </c>
      <c r="W73" s="82">
        <f>SUM(W27:W72)</f>
        <v>4580589.9999999972</v>
      </c>
      <c r="X73" s="82">
        <f>SUM(X27:X72)</f>
        <v>0</v>
      </c>
      <c r="Y73" s="82">
        <f>SUM(Y27:Y72)</f>
        <v>6543699.9999999963</v>
      </c>
      <c r="AA73" s="75" t="s">
        <v>633</v>
      </c>
      <c r="AB73" s="76"/>
      <c r="AC73" s="82">
        <f>SUM(AC27:AC72)</f>
        <v>50000</v>
      </c>
      <c r="AD73" s="82">
        <f>SUM(AD27:AD72)</f>
        <v>604370</v>
      </c>
      <c r="AE73" s="82">
        <f>SUM(AE27:AE72)</f>
        <v>5889330.0000000009</v>
      </c>
      <c r="AF73" s="82">
        <f>SUM(AF27:AF72)</f>
        <v>0</v>
      </c>
      <c r="AG73" s="82">
        <f>SUM(AG27:AG72)</f>
        <v>6543700</v>
      </c>
    </row>
    <row r="74" spans="2:33" ht="19" thickBot="1" x14ac:dyDescent="0.5">
      <c r="Q74" s="18">
        <f>M16-Q73</f>
        <v>0</v>
      </c>
      <c r="Y74" s="18">
        <f>U16-Y73</f>
        <v>0</v>
      </c>
      <c r="AG74" s="18">
        <f>AC16-AG73</f>
        <v>0</v>
      </c>
    </row>
    <row r="75" spans="2:33" ht="19" thickBot="1" x14ac:dyDescent="0.5">
      <c r="E75" s="11"/>
      <c r="F75" s="138" t="s">
        <v>668</v>
      </c>
      <c r="G75" s="139">
        <f>H75/$C$6</f>
        <v>7.6409596908445709E-3</v>
      </c>
      <c r="H75" s="140">
        <f>NPV(10%/12,H28:H72)+H27</f>
        <v>50000</v>
      </c>
      <c r="N75" s="11"/>
      <c r="O75" s="138" t="s">
        <v>668</v>
      </c>
      <c r="P75" s="139">
        <f>Q75/$C$6</f>
        <v>0.90216208080605287</v>
      </c>
      <c r="Q75" s="140">
        <f>NPV(10%/12,Q28:Q72)+Q27</f>
        <v>5903460.5423126835</v>
      </c>
      <c r="V75" s="11"/>
      <c r="W75" s="138" t="s">
        <v>668</v>
      </c>
      <c r="X75" s="139">
        <f>Y75/$C$6</f>
        <v>0.89521359044959747</v>
      </c>
      <c r="Y75" s="140">
        <f>NPV(10%/12,Y28:Y72)+Y27</f>
        <v>5857991.8404899193</v>
      </c>
      <c r="AD75" s="11"/>
      <c r="AE75" s="138" t="s">
        <v>668</v>
      </c>
      <c r="AF75" s="139">
        <f>AG75/$AC$16</f>
        <v>0.86039342485012504</v>
      </c>
      <c r="AG75" s="140">
        <f>NPV(10%/12,AG28:AG72)+AG27</f>
        <v>5630156.454191763</v>
      </c>
    </row>
    <row r="76" spans="2:33" x14ac:dyDescent="0.45">
      <c r="E76" s="11"/>
      <c r="F76" s="11"/>
      <c r="G76" s="83"/>
      <c r="H76" s="19"/>
      <c r="N76" s="11"/>
      <c r="O76" s="11"/>
      <c r="P76" s="83"/>
      <c r="Q76" s="19"/>
      <c r="V76" s="11"/>
      <c r="W76" s="11"/>
      <c r="X76" s="83"/>
      <c r="Y76" s="19"/>
      <c r="AD76" s="11"/>
      <c r="AE76" s="11"/>
      <c r="AF76" s="83"/>
      <c r="AG76" s="19"/>
    </row>
    <row r="77" spans="2:33" x14ac:dyDescent="0.45">
      <c r="E77" s="159" t="s">
        <v>773</v>
      </c>
      <c r="F77" s="159"/>
      <c r="G77" s="160">
        <f>G75-P75</f>
        <v>-0.89452112111520832</v>
      </c>
      <c r="H77" s="161">
        <f>H75-Q75</f>
        <v>-5853460.5423126835</v>
      </c>
    </row>
    <row r="78" spans="2:33" x14ac:dyDescent="0.45">
      <c r="E78" s="159" t="s">
        <v>904</v>
      </c>
      <c r="F78" s="159"/>
      <c r="G78" s="160">
        <f>G75-X75</f>
        <v>-0.88757263075875292</v>
      </c>
      <c r="H78" s="161">
        <f>H75-Y75</f>
        <v>-5807991.8404899193</v>
      </c>
    </row>
    <row r="79" spans="2:33" x14ac:dyDescent="0.45">
      <c r="E79" s="159" t="s">
        <v>903</v>
      </c>
      <c r="F79" s="159"/>
      <c r="G79" s="160">
        <f>G75-AF75</f>
        <v>-0.85275246515928049</v>
      </c>
      <c r="H79" s="161">
        <f>H75-AG75</f>
        <v>-5580156.454191763</v>
      </c>
    </row>
    <row r="80" spans="2:33" x14ac:dyDescent="0.45">
      <c r="G80" s="87"/>
      <c r="H80" s="18"/>
    </row>
    <row r="81" spans="2:27" x14ac:dyDescent="0.45">
      <c r="B81" s="85" t="s">
        <v>639</v>
      </c>
      <c r="G81" s="87"/>
      <c r="H81" s="18"/>
    </row>
    <row r="82" spans="2:27" x14ac:dyDescent="0.45">
      <c r="B82" s="84"/>
      <c r="G82" s="87"/>
      <c r="H82" s="18"/>
    </row>
    <row r="83" spans="2:27" x14ac:dyDescent="0.45">
      <c r="B83" s="310"/>
    </row>
    <row r="84" spans="2:27" x14ac:dyDescent="0.45">
      <c r="B84" s="311" t="s">
        <v>636</v>
      </c>
      <c r="C84" s="311" t="s">
        <v>812</v>
      </c>
      <c r="D84" s="312" t="s">
        <v>813</v>
      </c>
      <c r="E84" s="311" t="s">
        <v>669</v>
      </c>
      <c r="K84" s="85"/>
      <c r="S84" s="85"/>
      <c r="AA84" s="85"/>
    </row>
    <row r="85" spans="2:27" x14ac:dyDescent="0.45">
      <c r="B85" s="310"/>
      <c r="E85" s="310"/>
    </row>
    <row r="86" spans="2:27" x14ac:dyDescent="0.45">
      <c r="B86" s="313" t="s">
        <v>814</v>
      </c>
      <c r="C86" s="313" t="s">
        <v>819</v>
      </c>
      <c r="D86" s="313" t="s">
        <v>815</v>
      </c>
      <c r="E86" s="313" t="s">
        <v>670</v>
      </c>
    </row>
    <row r="87" spans="2:27" x14ac:dyDescent="0.45">
      <c r="B87" s="314" t="s">
        <v>816</v>
      </c>
      <c r="C87" s="315" t="s">
        <v>820</v>
      </c>
      <c r="D87" s="316" t="s">
        <v>817</v>
      </c>
      <c r="E87" s="316" t="s">
        <v>818</v>
      </c>
      <c r="K87" s="86"/>
      <c r="S87" s="86"/>
      <c r="AA87" s="86"/>
    </row>
  </sheetData>
  <mergeCells count="11">
    <mergeCell ref="S18:Y18"/>
    <mergeCell ref="AA18:AG18"/>
    <mergeCell ref="K20:Q20"/>
    <mergeCell ref="S20:Y20"/>
    <mergeCell ref="C2:D2"/>
    <mergeCell ref="C3:D3"/>
    <mergeCell ref="C4:D4"/>
    <mergeCell ref="C5:D5"/>
    <mergeCell ref="B18:H18"/>
    <mergeCell ref="K18:Q18"/>
    <mergeCell ref="C6:D6"/>
  </mergeCells>
  <conditionalFormatting sqref="C5:D5 C17:D17 L17:M17 T17:U17 AB17:AC17 C7:D7">
    <cfRule type="expression" dxfId="189" priority="19">
      <formula>$C$5=0</formula>
    </cfRule>
  </conditionalFormatting>
  <conditionalFormatting sqref="C2:D2">
    <cfRule type="expression" dxfId="188" priority="18">
      <formula>$C$2=0</formula>
    </cfRule>
  </conditionalFormatting>
  <conditionalFormatting sqref="D9:D10">
    <cfRule type="expression" dxfId="187" priority="17">
      <formula>$D$9=0</formula>
    </cfRule>
  </conditionalFormatting>
  <conditionalFormatting sqref="D14">
    <cfRule type="expression" dxfId="186" priority="16">
      <formula>$D$14=0</formula>
    </cfRule>
  </conditionalFormatting>
  <conditionalFormatting sqref="D15">
    <cfRule type="expression" dxfId="185" priority="15">
      <formula>$D$15=0</formula>
    </cfRule>
  </conditionalFormatting>
  <conditionalFormatting sqref="AC15">
    <cfRule type="expression" dxfId="184" priority="4">
      <formula>$D$15=0</formula>
    </cfRule>
  </conditionalFormatting>
  <conditionalFormatting sqref="L5:M7">
    <cfRule type="expression" dxfId="183" priority="14">
      <formula>$C$5=0</formula>
    </cfRule>
  </conditionalFormatting>
  <conditionalFormatting sqref="L2:M2">
    <cfRule type="expression" dxfId="182" priority="13">
      <formula>$C$2=0</formula>
    </cfRule>
  </conditionalFormatting>
  <conditionalFormatting sqref="T5:U7">
    <cfRule type="expression" dxfId="181" priority="12">
      <formula>$C$5=0</formula>
    </cfRule>
  </conditionalFormatting>
  <conditionalFormatting sqref="T2:U2">
    <cfRule type="expression" dxfId="180" priority="11">
      <formula>$C$2=0</formula>
    </cfRule>
  </conditionalFormatting>
  <conditionalFormatting sqref="U14">
    <cfRule type="expression" dxfId="179" priority="10">
      <formula>$D$14=0</formula>
    </cfRule>
  </conditionalFormatting>
  <conditionalFormatting sqref="U15">
    <cfRule type="expression" dxfId="178" priority="9">
      <formula>$D$15=0</formula>
    </cfRule>
  </conditionalFormatting>
  <conditionalFormatting sqref="AB5:AC7">
    <cfRule type="expression" dxfId="177" priority="8">
      <formula>$C$5=0</formula>
    </cfRule>
  </conditionalFormatting>
  <conditionalFormatting sqref="AB2:AC2">
    <cfRule type="expression" dxfId="176" priority="7">
      <formula>$C$2=0</formula>
    </cfRule>
  </conditionalFormatting>
  <conditionalFormatting sqref="AC9:AC10">
    <cfRule type="expression" dxfId="175" priority="6">
      <formula>$D$9=0</formula>
    </cfRule>
  </conditionalFormatting>
  <conditionalFormatting sqref="AC14">
    <cfRule type="expression" dxfId="174" priority="5">
      <formula>$D$14=0</formula>
    </cfRule>
  </conditionalFormatting>
  <conditionalFormatting sqref="M14">
    <cfRule type="expression" dxfId="173" priority="3">
      <formula>$D$13=0</formula>
    </cfRule>
  </conditionalFormatting>
  <conditionalFormatting sqref="M15">
    <cfRule type="expression" dxfId="172" priority="2">
      <formula>$D$14=0</formula>
    </cfRule>
  </conditionalFormatting>
  <conditionalFormatting sqref="C6:D6">
    <cfRule type="expression" dxfId="171" priority="1">
      <formula>$C$5=0</formula>
    </cfRule>
  </conditionalFormatting>
  <pageMargins left="0.7" right="0.7" top="0.75" bottom="0.75" header="0.3" footer="0.3"/>
  <pageSetup paperSize="8" scale="2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B1:BE89"/>
  <sheetViews>
    <sheetView showGridLines="0" view="pageBreakPreview" zoomScale="50" zoomScaleNormal="100" zoomScaleSheetLayoutView="50" workbookViewId="0">
      <selection activeCell="H83" sqref="H83"/>
    </sheetView>
  </sheetViews>
  <sheetFormatPr defaultColWidth="8.81640625" defaultRowHeight="18.5" outlineLevelCol="1" x14ac:dyDescent="0.45"/>
  <cols>
    <col min="1" max="1" width="3" style="8" customWidth="1"/>
    <col min="2" max="2" width="28.26953125" style="64" bestFit="1" customWidth="1"/>
    <col min="3" max="3" width="28.54296875" style="8" customWidth="1"/>
    <col min="4" max="5" width="25.7265625" style="8" customWidth="1"/>
    <col min="6" max="6" width="33.453125" style="8" customWidth="1"/>
    <col min="7" max="8" width="25.7265625" style="8" customWidth="1"/>
    <col min="9" max="10" width="8.81640625" style="289"/>
    <col min="11" max="11" width="25.7265625" style="64" customWidth="1" outlineLevel="1"/>
    <col min="12" max="17" width="25.7265625" style="8" customWidth="1" outlineLevel="1"/>
    <col min="18" max="18" width="9.1796875" style="8" customWidth="1"/>
    <col min="19" max="19" width="25.7265625" style="64" customWidth="1" outlineLevel="1"/>
    <col min="20" max="25" width="25.7265625" style="8" customWidth="1" outlineLevel="1"/>
    <col min="26" max="26" width="9.1796875" style="8" customWidth="1"/>
    <col min="27" max="27" width="25.7265625" style="441" customWidth="1" outlineLevel="1"/>
    <col min="28" max="33" width="25.7265625" style="8" customWidth="1" outlineLevel="1"/>
    <col min="34" max="34" width="9.1796875" style="8" customWidth="1"/>
    <col min="35" max="35" width="25.7265625" style="64" customWidth="1" outlineLevel="1"/>
    <col min="36" max="41" width="25.7265625" style="8" customWidth="1" outlineLevel="1"/>
    <col min="42" max="42" width="9.1796875" style="8" customWidth="1"/>
    <col min="43" max="43" width="25.7265625" style="455" customWidth="1" outlineLevel="1"/>
    <col min="44" max="49" width="25.7265625" style="8" customWidth="1" outlineLevel="1"/>
    <col min="50" max="50" width="8.81640625" style="8"/>
    <col min="51" max="51" width="25.7265625" style="455" customWidth="1" outlineLevel="1"/>
    <col min="52" max="54" width="25.7265625" style="8" customWidth="1" outlineLevel="1"/>
    <col min="55" max="55" width="25.7265625" style="9" customWidth="1" outlineLevel="1"/>
    <col min="56" max="57" width="25.7265625" style="8" customWidth="1" outlineLevel="1"/>
    <col min="58" max="16384" width="8.81640625" style="8"/>
  </cols>
  <sheetData>
    <row r="1" spans="2:57" x14ac:dyDescent="0.45">
      <c r="K1" s="68"/>
      <c r="L1" s="38"/>
      <c r="M1" s="38"/>
      <c r="N1" s="38"/>
      <c r="O1" s="38"/>
      <c r="P1" s="38"/>
      <c r="Q1" s="38"/>
      <c r="R1" s="38"/>
      <c r="S1" s="68"/>
      <c r="T1" s="38"/>
      <c r="U1" s="38"/>
      <c r="V1" s="38"/>
      <c r="W1" s="38"/>
      <c r="X1" s="38"/>
      <c r="Y1" s="38"/>
      <c r="Z1" s="38"/>
      <c r="AA1" s="68"/>
      <c r="AB1" s="38"/>
      <c r="AC1" s="38"/>
      <c r="AD1" s="38"/>
      <c r="AE1" s="38"/>
      <c r="AF1" s="38"/>
      <c r="AG1" s="38"/>
      <c r="AH1" s="38"/>
      <c r="AI1" s="68"/>
      <c r="AJ1" s="38"/>
      <c r="AK1" s="38"/>
      <c r="AL1" s="38"/>
      <c r="AM1" s="38"/>
      <c r="AN1" s="38"/>
      <c r="AO1" s="38"/>
      <c r="AQ1" s="68"/>
      <c r="AR1" s="38"/>
      <c r="AS1" s="38"/>
      <c r="AT1" s="38"/>
      <c r="AU1" s="38"/>
      <c r="AV1" s="38"/>
      <c r="AW1" s="38"/>
      <c r="AY1" s="68"/>
      <c r="AZ1" s="38"/>
      <c r="BA1" s="38"/>
      <c r="BB1" s="38"/>
      <c r="BC1" s="146"/>
      <c r="BD1" s="38"/>
      <c r="BE1" s="38"/>
    </row>
    <row r="2" spans="2:57" x14ac:dyDescent="0.45">
      <c r="B2" s="84" t="s">
        <v>0</v>
      </c>
      <c r="C2" s="505">
        <f>Input!D4</f>
        <v>0</v>
      </c>
      <c r="D2" s="505"/>
      <c r="K2" s="68"/>
      <c r="L2" s="89"/>
      <c r="M2" s="89"/>
      <c r="N2" s="38"/>
      <c r="O2" s="38"/>
      <c r="P2" s="38"/>
      <c r="Q2" s="38"/>
      <c r="R2" s="38"/>
      <c r="S2" s="68"/>
      <c r="T2" s="89"/>
      <c r="U2" s="89"/>
      <c r="V2" s="38"/>
      <c r="W2" s="38"/>
      <c r="X2" s="38"/>
      <c r="Y2" s="38"/>
      <c r="Z2" s="38"/>
      <c r="AA2" s="68"/>
      <c r="AB2" s="89"/>
      <c r="AC2" s="89"/>
      <c r="AD2" s="38"/>
      <c r="AE2" s="38"/>
      <c r="AF2" s="38"/>
      <c r="AG2" s="38"/>
      <c r="AH2" s="38"/>
      <c r="AI2" s="68"/>
      <c r="AJ2" s="89"/>
      <c r="AK2" s="89"/>
      <c r="AL2" s="38"/>
      <c r="AM2" s="38"/>
      <c r="AN2" s="38"/>
      <c r="AO2" s="38"/>
      <c r="AQ2" s="68"/>
      <c r="AR2" s="89"/>
      <c r="AS2" s="89"/>
      <c r="AT2" s="38"/>
      <c r="AU2" s="38"/>
      <c r="AV2" s="38"/>
      <c r="AW2" s="38"/>
      <c r="AY2" s="68"/>
      <c r="AZ2" s="89"/>
      <c r="BA2" s="89"/>
      <c r="BB2" s="38"/>
      <c r="BC2" s="146"/>
      <c r="BD2" s="38"/>
      <c r="BE2" s="38"/>
    </row>
    <row r="3" spans="2:57" x14ac:dyDescent="0.45">
      <c r="B3" s="84" t="s">
        <v>3</v>
      </c>
      <c r="C3" s="506" t="str">
        <f>Input!D7</f>
        <v>The Arborage</v>
      </c>
      <c r="D3" s="506"/>
      <c r="K3" s="68"/>
      <c r="L3" s="89"/>
      <c r="M3" s="89"/>
      <c r="N3" s="38"/>
      <c r="O3" s="38"/>
      <c r="P3" s="38"/>
      <c r="Q3" s="38"/>
      <c r="R3" s="38"/>
      <c r="S3" s="68"/>
      <c r="T3" s="89"/>
      <c r="U3" s="89"/>
      <c r="V3" s="38"/>
      <c r="W3" s="38"/>
      <c r="X3" s="38"/>
      <c r="Y3" s="38"/>
      <c r="Z3" s="38"/>
      <c r="AA3" s="68"/>
      <c r="AB3" s="89"/>
      <c r="AC3" s="89"/>
      <c r="AD3" s="38"/>
      <c r="AE3" s="38"/>
      <c r="AF3" s="38"/>
      <c r="AG3" s="38"/>
      <c r="AH3" s="38"/>
      <c r="AI3" s="68"/>
      <c r="AJ3" s="89"/>
      <c r="AK3" s="89"/>
      <c r="AL3" s="38"/>
      <c r="AM3" s="38"/>
      <c r="AN3" s="38"/>
      <c r="AO3" s="38"/>
      <c r="AQ3" s="68"/>
      <c r="AR3" s="89"/>
      <c r="AS3" s="89"/>
      <c r="AT3" s="38"/>
      <c r="AU3" s="38"/>
      <c r="AV3" s="38"/>
      <c r="AW3" s="38"/>
      <c r="AY3" s="68"/>
      <c r="AZ3" s="89"/>
      <c r="BA3" s="89"/>
      <c r="BB3" s="38"/>
      <c r="BC3" s="146"/>
      <c r="BD3" s="38"/>
      <c r="BE3" s="38"/>
    </row>
    <row r="4" spans="2:57" x14ac:dyDescent="0.45">
      <c r="B4" s="84" t="s">
        <v>576</v>
      </c>
      <c r="C4" s="507" t="str">
        <f>Input!D8</f>
        <v>B-B2-L10</v>
      </c>
      <c r="D4" s="507"/>
      <c r="K4" s="68"/>
      <c r="L4" s="90"/>
      <c r="M4" s="90"/>
      <c r="N4" s="38"/>
      <c r="O4" s="38"/>
      <c r="P4" s="38"/>
      <c r="Q4" s="38"/>
      <c r="R4" s="38"/>
      <c r="S4" s="68"/>
      <c r="T4" s="90"/>
      <c r="U4" s="90"/>
      <c r="V4" s="38"/>
      <c r="W4" s="38"/>
      <c r="X4" s="38"/>
      <c r="Y4" s="38"/>
      <c r="Z4" s="38"/>
      <c r="AA4" s="68"/>
      <c r="AB4" s="90"/>
      <c r="AC4" s="90"/>
      <c r="AD4" s="38"/>
      <c r="AE4" s="38"/>
      <c r="AF4" s="38"/>
      <c r="AG4" s="38"/>
      <c r="AH4" s="38"/>
      <c r="AI4" s="68"/>
      <c r="AJ4" s="90"/>
      <c r="AK4" s="90"/>
      <c r="AL4" s="38"/>
      <c r="AM4" s="38"/>
      <c r="AN4" s="38"/>
      <c r="AO4" s="38"/>
      <c r="AQ4" s="68"/>
      <c r="AR4" s="90"/>
      <c r="AS4" s="90"/>
      <c r="AT4" s="38"/>
      <c r="AU4" s="38"/>
      <c r="AV4" s="38"/>
      <c r="AW4" s="38"/>
      <c r="AY4" s="68"/>
      <c r="AZ4" s="90"/>
      <c r="BA4" s="90"/>
      <c r="BB4" s="38"/>
      <c r="BC4" s="146"/>
      <c r="BD4" s="38"/>
      <c r="BE4" s="38"/>
    </row>
    <row r="5" spans="2:57" x14ac:dyDescent="0.45">
      <c r="B5" s="84" t="s">
        <v>247</v>
      </c>
      <c r="C5" s="508" t="str">
        <f>Input!D9</f>
        <v>Lot</v>
      </c>
      <c r="D5" s="508"/>
      <c r="K5" s="68"/>
      <c r="L5" s="91"/>
      <c r="M5" s="91"/>
      <c r="N5" s="38"/>
      <c r="O5" s="38"/>
      <c r="P5" s="38"/>
      <c r="Q5" s="38"/>
      <c r="R5" s="38"/>
      <c r="S5" s="68"/>
      <c r="T5" s="91"/>
      <c r="U5" s="91"/>
      <c r="V5" s="38"/>
      <c r="W5" s="38"/>
      <c r="X5" s="38"/>
      <c r="Y5" s="38"/>
      <c r="Z5" s="38"/>
      <c r="AA5" s="68"/>
      <c r="AB5" s="91"/>
      <c r="AC5" s="91"/>
      <c r="AD5" s="38"/>
      <c r="AE5" s="38"/>
      <c r="AF5" s="38"/>
      <c r="AG5" s="38"/>
      <c r="AH5" s="38"/>
      <c r="AI5" s="68"/>
      <c r="AJ5" s="91"/>
      <c r="AK5" s="91"/>
      <c r="AL5" s="38"/>
      <c r="AM5" s="38"/>
      <c r="AN5" s="38"/>
      <c r="AO5" s="38"/>
      <c r="AQ5" s="68"/>
      <c r="AR5" s="91"/>
      <c r="AS5" s="91"/>
      <c r="AT5" s="38"/>
      <c r="AU5" s="38"/>
      <c r="AV5" s="38"/>
      <c r="AW5" s="38"/>
      <c r="AY5" s="68"/>
      <c r="AZ5" s="91"/>
      <c r="BA5" s="91"/>
      <c r="BB5" s="38"/>
      <c r="BC5" s="146"/>
      <c r="BD5" s="38"/>
      <c r="BE5" s="38"/>
    </row>
    <row r="6" spans="2:57" x14ac:dyDescent="0.45">
      <c r="B6" s="84" t="s">
        <v>619</v>
      </c>
      <c r="C6" s="509">
        <f>'Summary - All Clusters'!E111</f>
        <v>0</v>
      </c>
      <c r="D6" s="509"/>
      <c r="K6" s="68"/>
      <c r="L6" s="91"/>
      <c r="M6" s="91"/>
      <c r="N6" s="38"/>
      <c r="O6" s="38"/>
      <c r="P6" s="38"/>
      <c r="Q6" s="38"/>
      <c r="R6" s="38"/>
      <c r="S6" s="68"/>
      <c r="T6" s="91"/>
      <c r="U6" s="91"/>
      <c r="V6" s="38"/>
      <c r="W6" s="38"/>
      <c r="X6" s="38"/>
      <c r="Y6" s="38"/>
      <c r="Z6" s="38"/>
      <c r="AA6" s="68"/>
      <c r="AB6" s="91"/>
      <c r="AC6" s="91"/>
      <c r="AD6" s="38"/>
      <c r="AE6" s="38"/>
      <c r="AF6" s="38"/>
      <c r="AG6" s="38"/>
      <c r="AH6" s="38"/>
      <c r="AI6" s="68"/>
      <c r="AJ6" s="91"/>
      <c r="AK6" s="91"/>
      <c r="AL6" s="38"/>
      <c r="AM6" s="38"/>
      <c r="AN6" s="38"/>
      <c r="AO6" s="38"/>
      <c r="AQ6" s="68"/>
      <c r="AR6" s="91"/>
      <c r="AS6" s="91"/>
      <c r="AT6" s="38"/>
      <c r="AU6" s="38"/>
      <c r="AV6" s="38"/>
      <c r="AW6" s="38"/>
      <c r="AY6" s="68"/>
      <c r="AZ6" s="91"/>
      <c r="BA6" s="91"/>
      <c r="BB6" s="38"/>
      <c r="BC6" s="146"/>
      <c r="BD6" s="38"/>
      <c r="BE6" s="38"/>
    </row>
    <row r="7" spans="2:57" ht="19" thickBot="1" x14ac:dyDescent="0.5">
      <c r="C7" s="65"/>
      <c r="D7" s="65"/>
      <c r="K7" s="68"/>
      <c r="L7" s="65"/>
      <c r="M7" s="65"/>
      <c r="N7" s="38"/>
      <c r="O7" s="38"/>
      <c r="P7" s="38"/>
      <c r="Q7" s="38"/>
      <c r="R7" s="38"/>
      <c r="S7" s="68"/>
      <c r="T7" s="65"/>
      <c r="U7" s="65"/>
      <c r="V7" s="38"/>
      <c r="W7" s="38"/>
      <c r="X7" s="38"/>
      <c r="Y7" s="38"/>
      <c r="Z7" s="38"/>
      <c r="AA7" s="68"/>
      <c r="AB7" s="65"/>
      <c r="AC7" s="65"/>
      <c r="AD7" s="38"/>
      <c r="AE7" s="38"/>
      <c r="AF7" s="38"/>
      <c r="AG7" s="38"/>
      <c r="AH7" s="38"/>
      <c r="AI7" s="68"/>
      <c r="AJ7" s="65"/>
      <c r="AK7" s="65"/>
      <c r="AL7" s="38"/>
      <c r="AM7" s="38"/>
      <c r="AN7" s="38"/>
      <c r="AO7" s="38"/>
      <c r="AQ7" s="68"/>
      <c r="AR7" s="65"/>
      <c r="AS7" s="65"/>
      <c r="AT7" s="38"/>
      <c r="AU7" s="38"/>
      <c r="AV7" s="38"/>
      <c r="AW7" s="38"/>
      <c r="AY7" s="68"/>
      <c r="AZ7" s="65"/>
      <c r="BA7" s="65"/>
      <c r="BB7" s="38"/>
      <c r="BC7" s="146"/>
      <c r="BD7" s="38"/>
      <c r="BE7" s="38"/>
    </row>
    <row r="8" spans="2:57" x14ac:dyDescent="0.45">
      <c r="B8" s="77" t="str">
        <f>'Summary - All Clusters'!C56</f>
        <v>Total List Price</v>
      </c>
      <c r="C8" s="78"/>
      <c r="D8" s="79">
        <f>Input!D12</f>
        <v>5641104</v>
      </c>
      <c r="K8" s="77" t="str">
        <f>'Cash 30'!B6</f>
        <v>Total List Price:</v>
      </c>
      <c r="L8" s="78"/>
      <c r="M8" s="79">
        <f>'Cash 30'!D6</f>
        <v>0</v>
      </c>
      <c r="N8" s="38"/>
      <c r="O8" s="38"/>
      <c r="P8" s="38"/>
      <c r="Q8" s="38"/>
      <c r="R8" s="38"/>
      <c r="S8" s="77" t="str">
        <f>'30-70 (30)'!B6</f>
        <v>Total List Price</v>
      </c>
      <c r="T8" s="78"/>
      <c r="U8" s="79">
        <f>'30-70 (30)'!D6</f>
        <v>5641104</v>
      </c>
      <c r="V8" s="38"/>
      <c r="W8" s="38"/>
      <c r="X8" s="38"/>
      <c r="Y8" s="38"/>
      <c r="Z8" s="38"/>
      <c r="AA8" s="77" t="s">
        <v>583</v>
      </c>
      <c r="AB8" s="78"/>
      <c r="AC8" s="79">
        <f t="shared" ref="AC8:AC15" si="0">U8</f>
        <v>5641104</v>
      </c>
      <c r="AD8" s="38"/>
      <c r="AE8" s="38"/>
      <c r="AF8" s="38"/>
      <c r="AG8" s="38"/>
      <c r="AH8" s="38"/>
      <c r="AI8" s="77" t="str">
        <f>S8</f>
        <v>Total List Price</v>
      </c>
      <c r="AJ8" s="78"/>
      <c r="AK8" s="79">
        <f>U8</f>
        <v>5641104</v>
      </c>
      <c r="AL8" s="38"/>
      <c r="AM8" s="38"/>
      <c r="AN8" s="38"/>
      <c r="AO8" s="38"/>
      <c r="AQ8" s="77" t="str">
        <f>AA8</f>
        <v>Total List Price</v>
      </c>
      <c r="AR8" s="78"/>
      <c r="AS8" s="79">
        <f>AC8</f>
        <v>5641104</v>
      </c>
      <c r="AT8" s="38"/>
      <c r="AU8" s="38"/>
      <c r="AV8" s="38"/>
      <c r="AW8" s="38"/>
      <c r="AY8" s="77" t="str">
        <f>AI8</f>
        <v>Total List Price</v>
      </c>
      <c r="AZ8" s="78"/>
      <c r="BA8" s="79">
        <f>AK8</f>
        <v>5641104</v>
      </c>
      <c r="BB8" s="38"/>
      <c r="BC8" s="146"/>
      <c r="BD8" s="38"/>
      <c r="BE8" s="38"/>
    </row>
    <row r="9" spans="2:57" x14ac:dyDescent="0.45">
      <c r="B9" s="128" t="s">
        <v>665</v>
      </c>
      <c r="C9" s="147"/>
      <c r="D9" s="143">
        <f>C9*D8</f>
        <v>0</v>
      </c>
      <c r="E9" s="15">
        <v>0</v>
      </c>
      <c r="K9" s="128" t="str">
        <f>'Cash 30'!B7</f>
        <v>Less 9% Discount:</v>
      </c>
      <c r="L9" s="129"/>
      <c r="M9" s="130">
        <f>M8*9%</f>
        <v>0</v>
      </c>
      <c r="N9" s="88"/>
      <c r="O9" s="38"/>
      <c r="P9" s="38"/>
      <c r="Q9" s="38"/>
      <c r="R9" s="38"/>
      <c r="S9" s="128" t="str">
        <f>'30-70 (30)'!B7</f>
        <v>Less 1% Discount:</v>
      </c>
      <c r="T9" s="129"/>
      <c r="U9" s="130">
        <f>U8*1%</f>
        <v>56411.040000000001</v>
      </c>
      <c r="V9" s="88"/>
      <c r="W9" s="38"/>
      <c r="X9" s="38"/>
      <c r="Y9" s="38"/>
      <c r="Z9" s="38"/>
      <c r="AA9" s="128"/>
      <c r="AB9" s="129"/>
      <c r="AC9" s="130"/>
      <c r="AD9" s="88"/>
      <c r="AE9" s="38"/>
      <c r="AF9" s="38"/>
      <c r="AG9" s="38"/>
      <c r="AH9" s="38"/>
      <c r="AI9" s="141"/>
      <c r="AJ9" s="142"/>
      <c r="AK9" s="143" t="e">
        <f>IF(Input!$D$7="Prominence II",'10-10-80'!#REF!,IF(Input!$D$7="Arborage A",'20-40-40'!D8,'25-25-50'!#REF!))</f>
        <v>#REF!</v>
      </c>
      <c r="AL9" s="88"/>
      <c r="AM9" s="38"/>
      <c r="AN9" s="38"/>
      <c r="AO9" s="38"/>
      <c r="AQ9" s="141"/>
      <c r="AR9" s="142"/>
      <c r="AS9" s="143" t="e">
        <f>IF(Input!$D$7="Prominence II",'10-10-80'!#REF!,IF(Input!$D$7="Arborage A",'20-40-40'!L8,'25-25-50'!#REF!))</f>
        <v>#REF!</v>
      </c>
      <c r="AT9" s="88"/>
      <c r="AU9" s="38"/>
      <c r="AV9" s="38"/>
      <c r="AW9" s="38"/>
      <c r="AY9" s="141"/>
      <c r="AZ9" s="142"/>
      <c r="BA9" s="143" t="e">
        <f>IF(Input!$D$7="Prominence II",'10-10-80'!#REF!,IF(Input!$D$7="Arborage A",'20-40-40'!T8,'25-25-50'!#REF!))</f>
        <v>#REF!</v>
      </c>
      <c r="BB9" s="88"/>
      <c r="BC9" s="146"/>
      <c r="BD9" s="38"/>
      <c r="BE9" s="38"/>
    </row>
    <row r="10" spans="2:57" x14ac:dyDescent="0.45">
      <c r="B10" s="135"/>
      <c r="C10" s="136"/>
      <c r="D10" s="137"/>
      <c r="K10" s="28"/>
      <c r="L10" s="38"/>
      <c r="M10" s="101"/>
      <c r="N10" s="38"/>
      <c r="O10" s="38"/>
      <c r="P10" s="38"/>
      <c r="Q10" s="38"/>
      <c r="R10" s="38"/>
      <c r="S10" s="31"/>
      <c r="T10" s="39"/>
      <c r="U10" s="35"/>
      <c r="V10" s="38"/>
      <c r="W10" s="38"/>
      <c r="X10" s="38"/>
      <c r="Y10" s="38"/>
      <c r="Z10" s="38"/>
      <c r="AA10" s="31"/>
      <c r="AB10" s="39"/>
      <c r="AC10" s="35"/>
      <c r="AD10" s="38"/>
      <c r="AE10" s="38"/>
      <c r="AF10" s="38"/>
      <c r="AG10" s="38"/>
      <c r="AH10" s="38"/>
      <c r="AI10" s="31"/>
      <c r="AJ10" s="39"/>
      <c r="AK10" s="35"/>
      <c r="AL10" s="38"/>
      <c r="AM10" s="38"/>
      <c r="AN10" s="38"/>
      <c r="AO10" s="38"/>
      <c r="AQ10" s="31"/>
      <c r="AR10" s="39"/>
      <c r="AS10" s="35"/>
      <c r="AT10" s="38"/>
      <c r="AU10" s="38"/>
      <c r="AV10" s="38"/>
      <c r="AW10" s="38"/>
      <c r="AY10" s="31"/>
      <c r="AZ10" s="39"/>
      <c r="BA10" s="35"/>
      <c r="BB10" s="38"/>
      <c r="BC10" s="146"/>
      <c r="BD10" s="38"/>
      <c r="BE10" s="38"/>
    </row>
    <row r="11" spans="2:57" x14ac:dyDescent="0.45">
      <c r="B11" s="32" t="str">
        <f>'Summary - All Clusters'!C60</f>
        <v>Net List Price:</v>
      </c>
      <c r="C11" s="40"/>
      <c r="D11" s="36">
        <f>D8-D9-D10</f>
        <v>5641104</v>
      </c>
      <c r="K11" s="32" t="str">
        <f>'Cash 30'!B8</f>
        <v>Sub-total:</v>
      </c>
      <c r="L11" s="40"/>
      <c r="M11" s="36">
        <f>'Cash 30'!D8</f>
        <v>0</v>
      </c>
      <c r="N11" s="38"/>
      <c r="O11" s="38"/>
      <c r="P11" s="38"/>
      <c r="Q11" s="38"/>
      <c r="R11" s="38"/>
      <c r="S11" s="32" t="str">
        <f>'30-70 (30)'!B8</f>
        <v>Net List Price:</v>
      </c>
      <c r="T11" s="40"/>
      <c r="U11" s="36">
        <f>'30-70 (30)'!D8</f>
        <v>5584692.96</v>
      </c>
      <c r="V11" s="38"/>
      <c r="W11" s="38"/>
      <c r="X11" s="38"/>
      <c r="Y11" s="38"/>
      <c r="Z11" s="38"/>
      <c r="AA11" s="32" t="s">
        <v>584</v>
      </c>
      <c r="AB11" s="40"/>
      <c r="AC11" s="36">
        <f>AC8</f>
        <v>5641104</v>
      </c>
      <c r="AD11" s="38"/>
      <c r="AE11" s="38"/>
      <c r="AF11" s="38"/>
      <c r="AG11" s="38"/>
      <c r="AH11" s="38"/>
      <c r="AI11" s="32" t="str">
        <f>IF(Input!$D$7="Prominence II",'10-10-80'!B7,IF(Input!$D$7="Arborage A",'20-40-40'!B11,'25-25-50'!B6))</f>
        <v>Net List Price:</v>
      </c>
      <c r="AJ11" s="40"/>
      <c r="AK11" s="36">
        <f>AK8</f>
        <v>5641104</v>
      </c>
      <c r="AL11" s="38"/>
      <c r="AM11" s="38"/>
      <c r="AN11" s="38"/>
      <c r="AO11" s="38"/>
      <c r="AQ11" s="32" t="s">
        <v>584</v>
      </c>
      <c r="AR11" s="40"/>
      <c r="AS11" s="36">
        <f>AS8</f>
        <v>5641104</v>
      </c>
      <c r="AT11" s="38"/>
      <c r="AU11" s="38"/>
      <c r="AV11" s="38"/>
      <c r="AW11" s="38"/>
      <c r="AY11" s="32" t="s">
        <v>584</v>
      </c>
      <c r="AZ11" s="40"/>
      <c r="BA11" s="36">
        <f>BA8</f>
        <v>5641104</v>
      </c>
      <c r="BB11" s="38"/>
      <c r="BC11" s="146"/>
      <c r="BD11" s="38"/>
      <c r="BE11" s="38"/>
    </row>
    <row r="12" spans="2:57" x14ac:dyDescent="0.45">
      <c r="B12" s="28" t="str">
        <f>'Summary - All Clusters'!C61</f>
        <v>Add VAT:</v>
      </c>
      <c r="C12" s="38"/>
      <c r="D12" s="80">
        <f>E12*D11</f>
        <v>676932.48</v>
      </c>
      <c r="E12" s="15">
        <v>0.12</v>
      </c>
      <c r="K12" s="28" t="str">
        <f>'Cash 30'!B11</f>
        <v>Add VAT:</v>
      </c>
      <c r="L12" s="38"/>
      <c r="M12" s="34">
        <f>'Cash 30'!D11</f>
        <v>0</v>
      </c>
      <c r="N12" s="88"/>
      <c r="O12" s="38"/>
      <c r="P12" s="38"/>
      <c r="Q12" s="38"/>
      <c r="R12" s="38"/>
      <c r="S12" s="28" t="str">
        <f>'30-70 (30)'!B9</f>
        <v>Add VAT:</v>
      </c>
      <c r="T12" s="38"/>
      <c r="U12" s="80">
        <f>'30-70 (30)'!D9</f>
        <v>670163.15519999992</v>
      </c>
      <c r="V12" s="88"/>
      <c r="W12" s="38"/>
      <c r="X12" s="38"/>
      <c r="Y12" s="38"/>
      <c r="Z12" s="38"/>
      <c r="AA12" s="28" t="s">
        <v>592</v>
      </c>
      <c r="AB12" s="38"/>
      <c r="AC12" s="80">
        <f>AC11*12%</f>
        <v>676932.48</v>
      </c>
      <c r="AD12" s="88"/>
      <c r="AE12" s="38"/>
      <c r="AF12" s="38"/>
      <c r="AG12" s="38"/>
      <c r="AH12" s="38"/>
      <c r="AI12" s="28" t="str">
        <f>IF(Input!$D$7="Prominence II",'10-10-80'!B8,IF(Input!$D$7="Arborage A",'20-40-40'!B12,'25-25-50'!B7))</f>
        <v>Add VAT:</v>
      </c>
      <c r="AJ12" s="38"/>
      <c r="AK12" s="80">
        <f>AK11*12%</f>
        <v>676932.48</v>
      </c>
      <c r="AL12" s="88"/>
      <c r="AM12" s="38"/>
      <c r="AN12" s="38"/>
      <c r="AO12" s="38"/>
      <c r="AQ12" s="28" t="s">
        <v>592</v>
      </c>
      <c r="AR12" s="38"/>
      <c r="AS12" s="80">
        <f>AS11*12%</f>
        <v>676932.48</v>
      </c>
      <c r="AT12" s="88"/>
      <c r="AU12" s="38"/>
      <c r="AV12" s="38"/>
      <c r="AW12" s="38"/>
      <c r="AY12" s="28" t="s">
        <v>592</v>
      </c>
      <c r="AZ12" s="38"/>
      <c r="BA12" s="80">
        <f>BA11*12%</f>
        <v>676932.48</v>
      </c>
      <c r="BB12" s="88"/>
      <c r="BC12" s="146"/>
      <c r="BD12" s="38"/>
      <c r="BE12" s="38"/>
    </row>
    <row r="13" spans="2:57" x14ac:dyDescent="0.45">
      <c r="B13" s="28" t="str">
        <f>'Summary - All Clusters'!C62</f>
        <v>Add Other Charges:</v>
      </c>
      <c r="C13" s="38"/>
      <c r="D13" s="80">
        <f>D16+D15-D14-D12-D11</f>
        <v>225663.51999999955</v>
      </c>
      <c r="K13" s="28" t="str">
        <f>'Cash 30'!B12</f>
        <v>Add Other Charges:</v>
      </c>
      <c r="L13" s="38"/>
      <c r="M13" s="34">
        <f>'Cash 30'!D12</f>
        <v>0</v>
      </c>
      <c r="N13" s="38"/>
      <c r="O13" s="38"/>
      <c r="P13" s="38"/>
      <c r="Q13" s="38"/>
      <c r="R13" s="38"/>
      <c r="S13" s="28" t="str">
        <f>'30-70 (30)'!B10</f>
        <v>Add Other Charges:</v>
      </c>
      <c r="T13" s="38"/>
      <c r="U13" s="80">
        <f>'30-70 (30)'!D10</f>
        <v>223387.71840000001</v>
      </c>
      <c r="V13" s="38"/>
      <c r="W13" s="38"/>
      <c r="X13" s="38"/>
      <c r="Y13" s="38"/>
      <c r="Z13" s="38"/>
      <c r="AA13" s="28" t="s">
        <v>593</v>
      </c>
      <c r="AB13" s="38"/>
      <c r="AC13" s="80">
        <f>AC11*4%</f>
        <v>225644.16</v>
      </c>
      <c r="AD13" s="38"/>
      <c r="AE13" s="38"/>
      <c r="AF13" s="38"/>
      <c r="AG13" s="38"/>
      <c r="AH13" s="38"/>
      <c r="AI13" s="28" t="str">
        <f>IF(Input!$D$7="Prominence II",'10-10-80'!B9,IF(Input!$D$7="Arborage A",'20-40-40'!B13,'25-25-50'!B8))</f>
        <v>Add Other Charges:</v>
      </c>
      <c r="AJ13" s="38"/>
      <c r="AK13" s="80">
        <f>AK11*4%</f>
        <v>225644.16</v>
      </c>
      <c r="AL13" s="38"/>
      <c r="AM13" s="38"/>
      <c r="AN13" s="38"/>
      <c r="AO13" s="38"/>
      <c r="AQ13" s="28" t="s">
        <v>593</v>
      </c>
      <c r="AR13" s="38"/>
      <c r="AS13" s="80">
        <f>AS11*4%</f>
        <v>225644.16</v>
      </c>
      <c r="AT13" s="38"/>
      <c r="AU13" s="38"/>
      <c r="AV13" s="38"/>
      <c r="AW13" s="38"/>
      <c r="AY13" s="28" t="s">
        <v>593</v>
      </c>
      <c r="AZ13" s="38"/>
      <c r="BA13" s="80">
        <f>BA11*4%</f>
        <v>225644.16</v>
      </c>
      <c r="BB13" s="38"/>
      <c r="BC13" s="146"/>
      <c r="BD13" s="38"/>
      <c r="BE13" s="38"/>
    </row>
    <row r="14" spans="2:57" hidden="1" x14ac:dyDescent="0.45">
      <c r="B14" s="28" t="str">
        <f>'Summary - All Clusters'!C63</f>
        <v/>
      </c>
      <c r="C14" s="38"/>
      <c r="D14" s="34">
        <f>'Summary - All Clusters'!E63</f>
        <v>0</v>
      </c>
      <c r="K14" s="28" t="str">
        <f>B14</f>
        <v/>
      </c>
      <c r="L14" s="38"/>
      <c r="M14" s="34">
        <f>D14</f>
        <v>0</v>
      </c>
      <c r="N14" s="38"/>
      <c r="O14" s="38"/>
      <c r="P14" s="38"/>
      <c r="Q14" s="38"/>
      <c r="R14" s="38"/>
      <c r="S14" s="28" t="str">
        <f>K14</f>
        <v/>
      </c>
      <c r="T14" s="38"/>
      <c r="U14" s="34">
        <f>M14</f>
        <v>0</v>
      </c>
      <c r="V14" s="38"/>
      <c r="W14" s="38"/>
      <c r="X14" s="38"/>
      <c r="Y14" s="38"/>
      <c r="Z14" s="38"/>
      <c r="AA14" s="28" t="s">
        <v>905</v>
      </c>
      <c r="AB14" s="38"/>
      <c r="AC14" s="34">
        <f t="shared" si="0"/>
        <v>0</v>
      </c>
      <c r="AD14" s="38"/>
      <c r="AE14" s="38"/>
      <c r="AF14" s="38"/>
      <c r="AG14" s="38"/>
      <c r="AH14" s="38"/>
      <c r="AI14" s="28" t="str">
        <f>IF(Input!$D$7="Prominence II",'10-10-80'!B10,IF(Input!$D$7="Arborage A",'20-40-40'!B14,'25-25-50'!B9))</f>
        <v/>
      </c>
      <c r="AJ14" s="38"/>
      <c r="AK14" s="34">
        <f>U14</f>
        <v>0</v>
      </c>
      <c r="AL14" s="38"/>
      <c r="AM14" s="38"/>
      <c r="AN14" s="38"/>
      <c r="AO14" s="38"/>
      <c r="AQ14" s="28" t="s">
        <v>905</v>
      </c>
      <c r="AR14" s="38"/>
      <c r="AS14" s="34">
        <f>AC14</f>
        <v>0</v>
      </c>
      <c r="AT14" s="38"/>
      <c r="AU14" s="38"/>
      <c r="AV14" s="38"/>
      <c r="AW14" s="38"/>
      <c r="AY14" s="28" t="s">
        <v>905</v>
      </c>
      <c r="AZ14" s="38"/>
      <c r="BA14" s="34">
        <f>AK14</f>
        <v>0</v>
      </c>
      <c r="BB14" s="38"/>
      <c r="BC14" s="146"/>
      <c r="BD14" s="38"/>
      <c r="BE14" s="38"/>
    </row>
    <row r="15" spans="2:57" hidden="1" x14ac:dyDescent="0.45">
      <c r="B15" s="128" t="str">
        <f>'Summary - All Clusters'!C64</f>
        <v/>
      </c>
      <c r="C15" s="129"/>
      <c r="D15" s="132">
        <f>'Summary - All Clusters'!E64</f>
        <v>0</v>
      </c>
      <c r="K15" s="128" t="str">
        <f>B15</f>
        <v/>
      </c>
      <c r="L15" s="129"/>
      <c r="M15" s="130">
        <f>D15</f>
        <v>0</v>
      </c>
      <c r="N15" s="38"/>
      <c r="O15" s="38"/>
      <c r="P15" s="38"/>
      <c r="Q15" s="38"/>
      <c r="R15" s="38"/>
      <c r="S15" s="128" t="str">
        <f>K15</f>
        <v/>
      </c>
      <c r="T15" s="129"/>
      <c r="U15" s="132">
        <f>M15</f>
        <v>0</v>
      </c>
      <c r="V15" s="38"/>
      <c r="W15" s="38"/>
      <c r="X15" s="38"/>
      <c r="Y15" s="38"/>
      <c r="Z15" s="38"/>
      <c r="AA15" s="128" t="s">
        <v>905</v>
      </c>
      <c r="AB15" s="129"/>
      <c r="AC15" s="132">
        <f t="shared" si="0"/>
        <v>0</v>
      </c>
      <c r="AD15" s="38"/>
      <c r="AE15" s="38"/>
      <c r="AF15" s="38"/>
      <c r="AG15" s="38"/>
      <c r="AH15" s="38"/>
      <c r="AI15" s="128" t="str">
        <f>IF(Input!$D$7="Prominence II",'10-10-80'!B11,IF(Input!$D$7="Arborage A",'20-40-40'!B15,'25-25-50'!B10))</f>
        <v/>
      </c>
      <c r="AJ15" s="129"/>
      <c r="AK15" s="132">
        <f>U15</f>
        <v>0</v>
      </c>
      <c r="AL15" s="38"/>
      <c r="AM15" s="38"/>
      <c r="AN15" s="38"/>
      <c r="AO15" s="38"/>
      <c r="AQ15" s="128" t="s">
        <v>905</v>
      </c>
      <c r="AR15" s="129"/>
      <c r="AS15" s="132">
        <f>AC15</f>
        <v>0</v>
      </c>
      <c r="AT15" s="38"/>
      <c r="AU15" s="38"/>
      <c r="AV15" s="38"/>
      <c r="AW15" s="38"/>
      <c r="AY15" s="128" t="s">
        <v>905</v>
      </c>
      <c r="AZ15" s="129"/>
      <c r="BA15" s="132">
        <f>AK15</f>
        <v>0</v>
      </c>
      <c r="BB15" s="38"/>
      <c r="BC15" s="146"/>
      <c r="BD15" s="38"/>
      <c r="BE15" s="38"/>
    </row>
    <row r="16" spans="2:57" ht="19" thickBot="1" x14ac:dyDescent="0.5">
      <c r="B16" s="33" t="str">
        <f>'Summary - All Clusters'!C66</f>
        <v>Total Contract Price:</v>
      </c>
      <c r="C16" s="41"/>
      <c r="D16" s="81">
        <f>ROUND((D11*1.16)+D14-D15,-2)</f>
        <v>6543700</v>
      </c>
      <c r="K16" s="33" t="str">
        <f>B16</f>
        <v>Total Contract Price:</v>
      </c>
      <c r="L16" s="41"/>
      <c r="M16" s="37">
        <f>ROUND(M11+M12+M13+M14-M15,-2)</f>
        <v>0</v>
      </c>
      <c r="N16" s="38"/>
      <c r="O16" s="38"/>
      <c r="P16" s="38"/>
      <c r="Q16" s="38"/>
      <c r="R16" s="38"/>
      <c r="S16" s="33" t="str">
        <f>'30-70 (30)'!B13</f>
        <v>Total Contract Price:</v>
      </c>
      <c r="T16" s="41"/>
      <c r="U16" s="81">
        <f>ROUND(U11+U12+U13+U14-U15,-2)</f>
        <v>6478200</v>
      </c>
      <c r="V16" s="38"/>
      <c r="W16" s="38"/>
      <c r="X16" s="38"/>
      <c r="Y16" s="38"/>
      <c r="Z16" s="38"/>
      <c r="AA16" s="33" t="s">
        <v>580</v>
      </c>
      <c r="AB16" s="41"/>
      <c r="AC16" s="81">
        <f>ROUND(AC11+AC12+AC13+AC14-AC15,-2)</f>
        <v>6543700</v>
      </c>
      <c r="AD16" s="38"/>
      <c r="AE16" s="38"/>
      <c r="AF16" s="38"/>
      <c r="AG16" s="38"/>
      <c r="AH16" s="38"/>
      <c r="AI16" s="33" t="str">
        <f>IF(Input!$D$7="Prominence II",'10-10-80'!B12,IF(Input!$D$7="Arborage A",'20-40-40'!B16,'25-25-50'!B11))</f>
        <v>Total Contract Price:</v>
      </c>
      <c r="AJ16" s="41"/>
      <c r="AK16" s="81">
        <f>ROUND(AK11+AK12+AK13+AK14-AK15,-2)</f>
        <v>6543700</v>
      </c>
      <c r="AL16" s="38"/>
      <c r="AM16" s="38"/>
      <c r="AN16" s="38"/>
      <c r="AO16" s="38"/>
      <c r="AQ16" s="33" t="s">
        <v>580</v>
      </c>
      <c r="AR16" s="41"/>
      <c r="AS16" s="81">
        <f>ROUND(AS11+AS12+AS13+AS14-AS15,-2)</f>
        <v>6543700</v>
      </c>
      <c r="AT16" s="38"/>
      <c r="AU16" s="38"/>
      <c r="AV16" s="38"/>
      <c r="AW16" s="38"/>
      <c r="AY16" s="33" t="s">
        <v>580</v>
      </c>
      <c r="AZ16" s="41"/>
      <c r="BA16" s="81">
        <f>ROUND(BA11+BA12+BA13+BA14-BA15,-2)</f>
        <v>6543700</v>
      </c>
      <c r="BB16" s="38"/>
      <c r="BC16" s="146"/>
      <c r="BD16" s="38"/>
      <c r="BE16" s="38"/>
    </row>
    <row r="17" spans="2:57" x14ac:dyDescent="0.45">
      <c r="B17" s="68"/>
      <c r="C17" s="65"/>
      <c r="D17" s="65"/>
      <c r="K17" s="68"/>
      <c r="L17" s="65"/>
      <c r="M17" s="65"/>
      <c r="S17" s="68"/>
      <c r="T17" s="65"/>
      <c r="U17" s="65"/>
      <c r="AA17" s="68"/>
      <c r="AB17" s="65"/>
      <c r="AC17" s="65"/>
      <c r="AI17" s="68"/>
      <c r="AJ17" s="65"/>
      <c r="AK17" s="65"/>
      <c r="AQ17" s="68"/>
      <c r="AR17" s="65"/>
      <c r="AS17" s="65"/>
      <c r="AY17" s="68"/>
      <c r="AZ17" s="65"/>
      <c r="BA17" s="65"/>
    </row>
    <row r="18" spans="2:57" x14ac:dyDescent="0.45">
      <c r="B18" s="498" t="s">
        <v>666</v>
      </c>
      <c r="C18" s="499"/>
      <c r="D18" s="499"/>
      <c r="E18" s="499"/>
      <c r="F18" s="499"/>
      <c r="G18" s="499"/>
      <c r="H18" s="500"/>
      <c r="K18" s="498" t="s">
        <v>667</v>
      </c>
      <c r="L18" s="499"/>
      <c r="M18" s="499"/>
      <c r="N18" s="499"/>
      <c r="O18" s="499"/>
      <c r="P18" s="499"/>
      <c r="Q18" s="500"/>
      <c r="S18" s="498" t="s">
        <v>906</v>
      </c>
      <c r="T18" s="499"/>
      <c r="U18" s="499"/>
      <c r="V18" s="499"/>
      <c r="W18" s="499"/>
      <c r="X18" s="499"/>
      <c r="Y18" s="500"/>
      <c r="AA18" s="498" t="s">
        <v>907</v>
      </c>
      <c r="AB18" s="499"/>
      <c r="AC18" s="499"/>
      <c r="AD18" s="499"/>
      <c r="AE18" s="499"/>
      <c r="AF18" s="499"/>
      <c r="AG18" s="500"/>
      <c r="AI18" s="498" t="s">
        <v>746</v>
      </c>
      <c r="AJ18" s="499"/>
      <c r="AK18" s="499"/>
      <c r="AL18" s="499"/>
      <c r="AM18" s="499"/>
      <c r="AN18" s="499"/>
      <c r="AO18" s="500"/>
      <c r="AQ18" s="498" t="s">
        <v>926</v>
      </c>
      <c r="AR18" s="499"/>
      <c r="AS18" s="499"/>
      <c r="AT18" s="499"/>
      <c r="AU18" s="499"/>
      <c r="AV18" s="499"/>
      <c r="AW18" s="500"/>
      <c r="AY18" s="498" t="s">
        <v>927</v>
      </c>
      <c r="AZ18" s="499"/>
      <c r="BA18" s="499"/>
      <c r="BB18" s="499"/>
      <c r="BC18" s="499"/>
      <c r="BD18" s="499"/>
      <c r="BE18" s="500"/>
    </row>
    <row r="19" spans="2:57" x14ac:dyDescent="0.45">
      <c r="B19" s="66"/>
      <c r="C19" s="67"/>
      <c r="D19" s="67"/>
      <c r="E19" s="67"/>
      <c r="F19" s="67"/>
      <c r="G19" s="68"/>
      <c r="H19" s="69"/>
      <c r="K19" s="66"/>
      <c r="L19" s="67"/>
      <c r="M19" s="67"/>
      <c r="N19" s="67"/>
      <c r="O19" s="67"/>
      <c r="P19" s="68"/>
      <c r="Q19" s="69"/>
      <c r="S19" s="66"/>
      <c r="T19" s="67"/>
      <c r="U19" s="67"/>
      <c r="V19" s="67"/>
      <c r="W19" s="67"/>
      <c r="X19" s="68"/>
      <c r="Y19" s="69"/>
      <c r="AA19" s="66"/>
      <c r="AB19" s="67"/>
      <c r="AC19" s="67"/>
      <c r="AD19" s="67"/>
      <c r="AE19" s="67"/>
      <c r="AF19" s="68"/>
      <c r="AG19" s="69"/>
      <c r="AI19" s="66"/>
      <c r="AJ19" s="67"/>
      <c r="AK19" s="67"/>
      <c r="AL19" s="67"/>
      <c r="AM19" s="67"/>
      <c r="AN19" s="68"/>
      <c r="AO19" s="69"/>
      <c r="AQ19" s="66"/>
      <c r="AR19" s="67"/>
      <c r="AS19" s="67"/>
      <c r="AT19" s="67"/>
      <c r="AU19" s="67"/>
      <c r="AV19" s="68"/>
      <c r="AW19" s="69"/>
      <c r="AY19" s="66"/>
      <c r="AZ19" s="67"/>
      <c r="BA19" s="67"/>
      <c r="BB19" s="67"/>
      <c r="BC19" s="413"/>
      <c r="BD19" s="68"/>
      <c r="BE19" s="69"/>
    </row>
    <row r="20" spans="2:57" x14ac:dyDescent="0.45">
      <c r="B20" s="66"/>
      <c r="C20" s="155"/>
      <c r="D20" s="155" t="s">
        <v>624</v>
      </c>
      <c r="E20" s="155" t="s">
        <v>627</v>
      </c>
      <c r="F20" s="155" t="s">
        <v>626</v>
      </c>
      <c r="G20" s="68"/>
      <c r="H20" s="69"/>
      <c r="K20" s="504" t="s">
        <v>638</v>
      </c>
      <c r="L20" s="502"/>
      <c r="M20" s="502"/>
      <c r="N20" s="502"/>
      <c r="O20" s="502"/>
      <c r="P20" s="502"/>
      <c r="Q20" s="503"/>
      <c r="S20" s="504" t="s">
        <v>637</v>
      </c>
      <c r="T20" s="502"/>
      <c r="U20" s="502"/>
      <c r="V20" s="502"/>
      <c r="W20" s="502"/>
      <c r="X20" s="502"/>
      <c r="Y20" s="503"/>
      <c r="AA20" s="504" t="s">
        <v>908</v>
      </c>
      <c r="AB20" s="502"/>
      <c r="AC20" s="502"/>
      <c r="AD20" s="502"/>
      <c r="AE20" s="502"/>
      <c r="AF20" s="502"/>
      <c r="AG20" s="503"/>
      <c r="AI20" s="96"/>
      <c r="AJ20" s="97"/>
      <c r="AK20" s="94">
        <v>0.1</v>
      </c>
      <c r="AL20" s="100" t="s">
        <v>748</v>
      </c>
      <c r="AM20" s="97"/>
      <c r="AN20" s="97"/>
      <c r="AO20" s="98"/>
      <c r="AQ20" s="96"/>
      <c r="AR20" s="97"/>
      <c r="AS20" s="94">
        <v>0.1</v>
      </c>
      <c r="AT20" s="100" t="s">
        <v>768</v>
      </c>
      <c r="AU20" s="97"/>
      <c r="AV20" s="97"/>
      <c r="AW20" s="98"/>
      <c r="AY20" s="96"/>
      <c r="AZ20" s="97"/>
      <c r="BA20" s="94">
        <v>0.1</v>
      </c>
      <c r="BB20" s="100" t="s">
        <v>929</v>
      </c>
      <c r="BC20" s="100"/>
      <c r="BD20" s="97"/>
      <c r="BE20" s="98"/>
    </row>
    <row r="21" spans="2:57" x14ac:dyDescent="0.45">
      <c r="B21" s="66"/>
      <c r="C21" s="156" t="s">
        <v>749</v>
      </c>
      <c r="D21" s="157"/>
      <c r="E21" s="158"/>
      <c r="F21" s="155"/>
      <c r="G21" s="38"/>
      <c r="H21" s="70"/>
      <c r="K21" s="66"/>
      <c r="L21" s="93"/>
      <c r="M21" s="94"/>
      <c r="N21" s="95"/>
      <c r="O21" s="92"/>
      <c r="P21" s="38"/>
      <c r="Q21" s="70"/>
      <c r="S21" s="66"/>
      <c r="T21" s="93"/>
      <c r="U21" s="94"/>
      <c r="V21" s="95"/>
      <c r="W21" s="92"/>
      <c r="X21" s="38"/>
      <c r="Y21" s="70"/>
      <c r="AA21" s="66"/>
      <c r="AB21" s="93"/>
      <c r="AC21" s="94"/>
      <c r="AD21" s="95"/>
      <c r="AE21" s="438"/>
      <c r="AF21" s="38"/>
      <c r="AG21" s="70"/>
      <c r="AI21" s="66"/>
      <c r="AJ21" s="93"/>
      <c r="AK21" s="94">
        <v>0.9</v>
      </c>
      <c r="AL21" s="99" t="s">
        <v>747</v>
      </c>
      <c r="AM21" s="92"/>
      <c r="AN21" s="38"/>
      <c r="AO21" s="70"/>
      <c r="AQ21" s="66"/>
      <c r="AR21" s="93"/>
      <c r="AS21" s="94">
        <v>0.4</v>
      </c>
      <c r="AT21" s="99" t="s">
        <v>769</v>
      </c>
      <c r="AU21" s="451"/>
      <c r="AV21" s="38"/>
      <c r="AW21" s="70"/>
      <c r="AY21" s="66"/>
      <c r="AZ21" s="93"/>
      <c r="BA21" s="94">
        <v>0.02</v>
      </c>
      <c r="BB21" s="99" t="s">
        <v>928</v>
      </c>
      <c r="BC21" s="414"/>
      <c r="BD21" s="38"/>
      <c r="BE21" s="70"/>
    </row>
    <row r="22" spans="2:57" x14ac:dyDescent="0.45">
      <c r="B22" s="66"/>
      <c r="C22" s="156" t="s">
        <v>630</v>
      </c>
      <c r="D22" s="157"/>
      <c r="E22" s="158"/>
      <c r="F22" s="155"/>
      <c r="G22" s="38"/>
      <c r="H22" s="70"/>
      <c r="K22" s="66"/>
      <c r="L22" s="93"/>
      <c r="M22" s="94"/>
      <c r="N22" s="93"/>
      <c r="O22" s="92"/>
      <c r="P22" s="38"/>
      <c r="Q22" s="70"/>
      <c r="S22" s="66"/>
      <c r="T22" s="93"/>
      <c r="U22" s="94"/>
      <c r="V22" s="93"/>
      <c r="W22" s="92"/>
      <c r="X22" s="38"/>
      <c r="Y22" s="70"/>
      <c r="AA22" s="66"/>
      <c r="AB22" s="93"/>
      <c r="AC22" s="94"/>
      <c r="AD22" s="93"/>
      <c r="AE22" s="438"/>
      <c r="AF22" s="38"/>
      <c r="AG22" s="70"/>
      <c r="AI22" s="66"/>
      <c r="AJ22" s="93"/>
      <c r="AK22" s="94"/>
      <c r="AL22" s="99"/>
      <c r="AM22" s="92"/>
      <c r="AN22" s="38"/>
      <c r="AO22" s="70"/>
      <c r="AQ22" s="66"/>
      <c r="AR22" s="93"/>
      <c r="AS22" s="94">
        <v>0.5</v>
      </c>
      <c r="AT22" s="99" t="s">
        <v>625</v>
      </c>
      <c r="AU22" s="451"/>
      <c r="AV22" s="38"/>
      <c r="AW22" s="70"/>
      <c r="AY22" s="66"/>
      <c r="AZ22" s="93"/>
      <c r="BA22" s="94" t="s">
        <v>930</v>
      </c>
      <c r="BB22" s="99" t="s">
        <v>625</v>
      </c>
      <c r="BC22" s="414"/>
      <c r="BD22" s="38"/>
      <c r="BE22" s="70"/>
    </row>
    <row r="23" spans="2:57" x14ac:dyDescent="0.45">
      <c r="B23" s="66"/>
      <c r="C23" s="227"/>
      <c r="D23" s="228"/>
      <c r="E23" s="229"/>
      <c r="F23" s="230"/>
      <c r="G23" s="38"/>
      <c r="H23" s="70"/>
      <c r="K23" s="66"/>
      <c r="L23" s="93"/>
      <c r="M23" s="94"/>
      <c r="N23" s="93"/>
      <c r="O23" s="92"/>
      <c r="P23" s="38"/>
      <c r="Q23" s="70"/>
      <c r="S23" s="66"/>
      <c r="T23" s="93"/>
      <c r="U23" s="94"/>
      <c r="V23" s="93"/>
      <c r="W23" s="92"/>
      <c r="X23" s="38"/>
      <c r="Y23" s="70"/>
      <c r="AA23" s="66"/>
      <c r="AB23" s="93"/>
      <c r="AC23" s="94"/>
      <c r="AD23" s="93"/>
      <c r="AE23" s="438"/>
      <c r="AF23" s="38"/>
      <c r="AG23" s="70"/>
      <c r="AI23" s="66"/>
      <c r="AJ23" s="93"/>
      <c r="AK23" s="94"/>
      <c r="AL23" s="93"/>
      <c r="AM23" s="92"/>
      <c r="AN23" s="38"/>
      <c r="AO23" s="70"/>
      <c r="AQ23" s="66"/>
      <c r="AR23" s="93"/>
      <c r="AS23" s="94"/>
      <c r="AT23" s="93"/>
      <c r="AU23" s="451"/>
      <c r="AV23" s="38"/>
      <c r="AW23" s="70"/>
      <c r="AY23" s="66"/>
      <c r="AZ23" s="93"/>
      <c r="BA23" s="94"/>
      <c r="BB23" s="93"/>
      <c r="BC23" s="414"/>
      <c r="BD23" s="38"/>
      <c r="BE23" s="70"/>
    </row>
    <row r="24" spans="2:57" x14ac:dyDescent="0.45">
      <c r="B24" s="66"/>
      <c r="C24" s="93"/>
      <c r="D24" s="224">
        <f>SUM(D21:D23)</f>
        <v>0</v>
      </c>
      <c r="E24" s="95"/>
      <c r="F24" s="223"/>
      <c r="G24" s="38"/>
      <c r="H24" s="70"/>
      <c r="K24" s="66"/>
      <c r="L24" s="93"/>
      <c r="M24" s="94"/>
      <c r="N24" s="95"/>
      <c r="O24" s="92"/>
      <c r="P24" s="38"/>
      <c r="Q24" s="70"/>
      <c r="S24" s="66"/>
      <c r="T24" s="93"/>
      <c r="U24" s="94"/>
      <c r="V24" s="95"/>
      <c r="W24" s="92"/>
      <c r="X24" s="38"/>
      <c r="Y24" s="70"/>
      <c r="AA24" s="66"/>
      <c r="AB24" s="93"/>
      <c r="AC24" s="94"/>
      <c r="AD24" s="95"/>
      <c r="AE24" s="438"/>
      <c r="AF24" s="38"/>
      <c r="AG24" s="70"/>
      <c r="AI24" s="66"/>
      <c r="AJ24" s="93"/>
      <c r="AK24" s="94"/>
      <c r="AL24" s="95"/>
      <c r="AM24" s="92"/>
      <c r="AN24" s="38"/>
      <c r="AO24" s="70"/>
      <c r="AQ24" s="66"/>
      <c r="AR24" s="93"/>
      <c r="AS24" s="94"/>
      <c r="AT24" s="95"/>
      <c r="AU24" s="451"/>
      <c r="AV24" s="38"/>
      <c r="AW24" s="70"/>
      <c r="AY24" s="66"/>
      <c r="AZ24" s="93"/>
      <c r="BA24" s="94"/>
      <c r="BB24" s="95"/>
      <c r="BC24" s="414"/>
      <c r="BD24" s="38"/>
      <c r="BE24" s="70"/>
    </row>
    <row r="25" spans="2:57" x14ac:dyDescent="0.45">
      <c r="B25" s="71"/>
      <c r="C25" s="62"/>
      <c r="D25" s="62"/>
      <c r="E25" s="62"/>
      <c r="F25" s="62"/>
      <c r="G25" s="62"/>
      <c r="H25" s="72"/>
      <c r="K25" s="71"/>
      <c r="L25" s="62"/>
      <c r="M25" s="62"/>
      <c r="N25" s="62"/>
      <c r="O25" s="62"/>
      <c r="P25" s="62"/>
      <c r="Q25" s="72"/>
      <c r="S25" s="71"/>
      <c r="T25" s="62"/>
      <c r="U25" s="62"/>
      <c r="V25" s="62"/>
      <c r="W25" s="62"/>
      <c r="X25" s="62"/>
      <c r="Y25" s="72"/>
      <c r="AA25" s="71"/>
      <c r="AB25" s="439"/>
      <c r="AC25" s="439"/>
      <c r="AD25" s="439"/>
      <c r="AE25" s="439"/>
      <c r="AF25" s="439"/>
      <c r="AG25" s="72"/>
      <c r="AI25" s="71"/>
      <c r="AJ25" s="62"/>
      <c r="AK25" s="62"/>
      <c r="AL25" s="62"/>
      <c r="AM25" s="62"/>
      <c r="AN25" s="62"/>
      <c r="AO25" s="72"/>
      <c r="AQ25" s="71"/>
      <c r="AR25" s="452"/>
      <c r="AS25" s="452"/>
      <c r="AT25" s="452"/>
      <c r="AU25" s="452"/>
      <c r="AV25" s="452"/>
      <c r="AW25" s="72"/>
      <c r="AY25" s="71"/>
      <c r="AZ25" s="452"/>
      <c r="BA25" s="452"/>
      <c r="BB25" s="452"/>
      <c r="BC25" s="453"/>
      <c r="BD25" s="452"/>
      <c r="BE25" s="72"/>
    </row>
    <row r="26" spans="2:57" x14ac:dyDescent="0.45">
      <c r="B26" s="75" t="s">
        <v>628</v>
      </c>
      <c r="C26" s="75" t="s">
        <v>600</v>
      </c>
      <c r="D26" s="75" t="s">
        <v>629</v>
      </c>
      <c r="E26" s="75" t="s">
        <v>749</v>
      </c>
      <c r="F26" s="75" t="s">
        <v>630</v>
      </c>
      <c r="G26" s="75" t="s">
        <v>625</v>
      </c>
      <c r="H26" s="75" t="s">
        <v>632</v>
      </c>
      <c r="K26" s="75" t="s">
        <v>628</v>
      </c>
      <c r="L26" s="75" t="s">
        <v>600</v>
      </c>
      <c r="M26" s="75" t="s">
        <v>629</v>
      </c>
      <c r="N26" s="75" t="s">
        <v>634</v>
      </c>
      <c r="O26" s="75" t="s">
        <v>630</v>
      </c>
      <c r="P26" s="75" t="s">
        <v>631</v>
      </c>
      <c r="Q26" s="75" t="s">
        <v>632</v>
      </c>
      <c r="S26" s="75" t="s">
        <v>628</v>
      </c>
      <c r="T26" s="75" t="s">
        <v>600</v>
      </c>
      <c r="U26" s="75" t="s">
        <v>629</v>
      </c>
      <c r="V26" s="75" t="s">
        <v>634</v>
      </c>
      <c r="W26" s="75" t="s">
        <v>630</v>
      </c>
      <c r="X26" s="75" t="s">
        <v>631</v>
      </c>
      <c r="Y26" s="75" t="s">
        <v>632</v>
      </c>
      <c r="AA26" s="75" t="s">
        <v>628</v>
      </c>
      <c r="AB26" s="75" t="s">
        <v>600</v>
      </c>
      <c r="AC26" s="75" t="s">
        <v>629</v>
      </c>
      <c r="AD26" s="75" t="s">
        <v>634</v>
      </c>
      <c r="AE26" s="75" t="s">
        <v>630</v>
      </c>
      <c r="AF26" s="75" t="s">
        <v>631</v>
      </c>
      <c r="AG26" s="75" t="s">
        <v>632</v>
      </c>
      <c r="AI26" s="75" t="s">
        <v>628</v>
      </c>
      <c r="AJ26" s="75" t="s">
        <v>600</v>
      </c>
      <c r="AK26" s="75" t="s">
        <v>629</v>
      </c>
      <c r="AL26" s="75" t="s">
        <v>634</v>
      </c>
      <c r="AM26" s="75" t="s">
        <v>630</v>
      </c>
      <c r="AN26" s="75" t="s">
        <v>631</v>
      </c>
      <c r="AO26" s="75" t="s">
        <v>632</v>
      </c>
      <c r="AQ26" s="75" t="s">
        <v>628</v>
      </c>
      <c r="AR26" s="75" t="s">
        <v>600</v>
      </c>
      <c r="AS26" s="75" t="s">
        <v>629</v>
      </c>
      <c r="AT26" s="75" t="s">
        <v>634</v>
      </c>
      <c r="AU26" s="75" t="s">
        <v>630</v>
      </c>
      <c r="AV26" s="75" t="s">
        <v>631</v>
      </c>
      <c r="AW26" s="75" t="s">
        <v>632</v>
      </c>
      <c r="AY26" s="75" t="s">
        <v>628</v>
      </c>
      <c r="AZ26" s="75" t="s">
        <v>600</v>
      </c>
      <c r="BA26" s="75" t="s">
        <v>629</v>
      </c>
      <c r="BB26" s="75" t="s">
        <v>634</v>
      </c>
      <c r="BC26" s="456" t="s">
        <v>630</v>
      </c>
      <c r="BD26" s="75" t="s">
        <v>631</v>
      </c>
      <c r="BE26" s="75" t="s">
        <v>632</v>
      </c>
    </row>
    <row r="27" spans="2:57" x14ac:dyDescent="0.45">
      <c r="B27" s="63">
        <v>1</v>
      </c>
      <c r="C27" s="144">
        <f ca="1">TODAY()</f>
        <v>44061</v>
      </c>
      <c r="D27" s="73">
        <v>50000</v>
      </c>
      <c r="E27" s="56"/>
      <c r="F27" s="56"/>
      <c r="G27" s="56"/>
      <c r="H27" s="73">
        <f t="shared" ref="H27:H40" si="1">SUM(D27+E27+F27-G27)</f>
        <v>50000</v>
      </c>
      <c r="I27" s="289">
        <f>H27/$D$16</f>
        <v>7.6409370845240462E-3</v>
      </c>
      <c r="J27" s="289">
        <f>I27</f>
        <v>7.6409370845240462E-3</v>
      </c>
      <c r="K27" s="63">
        <v>1</v>
      </c>
      <c r="L27" s="144">
        <f ca="1">C27</f>
        <v>44061</v>
      </c>
      <c r="M27" s="73">
        <v>50000</v>
      </c>
      <c r="N27" s="56"/>
      <c r="O27" s="56"/>
      <c r="P27" s="56"/>
      <c r="Q27" s="73">
        <f>SUM(M27+N27+O27-P27)</f>
        <v>50000</v>
      </c>
      <c r="S27" s="63">
        <v>1</v>
      </c>
      <c r="T27" s="144">
        <f ca="1">C27</f>
        <v>44061</v>
      </c>
      <c r="U27" s="73">
        <v>50000</v>
      </c>
      <c r="V27" s="56"/>
      <c r="W27" s="56"/>
      <c r="X27" s="56"/>
      <c r="Y27" s="73">
        <f>SUM(U27+V27+W27-X27)</f>
        <v>50000</v>
      </c>
      <c r="AA27" s="440">
        <v>1</v>
      </c>
      <c r="AB27" s="144">
        <f>K27</f>
        <v>1</v>
      </c>
      <c r="AC27" s="73">
        <v>50000</v>
      </c>
      <c r="AD27" s="56"/>
      <c r="AE27" s="56"/>
      <c r="AF27" s="56"/>
      <c r="AG27" s="73">
        <f>SUM(AC27+AD27+AE27-AF27)</f>
        <v>50000</v>
      </c>
      <c r="AI27" s="63">
        <v>1</v>
      </c>
      <c r="AJ27" s="144">
        <f ca="1">C27</f>
        <v>44061</v>
      </c>
      <c r="AK27" s="73">
        <v>50000</v>
      </c>
      <c r="AL27" s="56"/>
      <c r="AM27" s="56"/>
      <c r="AN27" s="56"/>
      <c r="AO27" s="73">
        <f>SUM(AK27+AL27+AM27-AN27)</f>
        <v>50000</v>
      </c>
      <c r="AQ27" s="454">
        <v>1</v>
      </c>
      <c r="AR27" s="144">
        <f>K27</f>
        <v>1</v>
      </c>
      <c r="AS27" s="73">
        <v>50000</v>
      </c>
      <c r="AT27" s="56"/>
      <c r="AU27" s="56"/>
      <c r="AV27" s="56"/>
      <c r="AW27" s="73">
        <f>SUM(AS27+AT27+AU27-AV27)</f>
        <v>50000</v>
      </c>
      <c r="AY27" s="454">
        <v>1</v>
      </c>
      <c r="AZ27" s="144">
        <f>S27</f>
        <v>1</v>
      </c>
      <c r="BA27" s="73">
        <v>50000</v>
      </c>
      <c r="BB27" s="56"/>
      <c r="BC27" s="73"/>
      <c r="BD27" s="56"/>
      <c r="BE27" s="73">
        <f>SUM(BA27+BB27+BC27-BD27)</f>
        <v>50000</v>
      </c>
    </row>
    <row r="28" spans="2:57" x14ac:dyDescent="0.45">
      <c r="B28" s="63">
        <v>2</v>
      </c>
      <c r="C28" s="74">
        <f ca="1">EDATE(C27,1)</f>
        <v>44092</v>
      </c>
      <c r="D28" s="56"/>
      <c r="E28" s="45"/>
      <c r="F28" s="56"/>
      <c r="G28" s="56"/>
      <c r="H28" s="73">
        <f t="shared" si="1"/>
        <v>0</v>
      </c>
      <c r="I28" s="289">
        <f t="shared" ref="I28:I72" si="2">H28/$D$16</f>
        <v>0</v>
      </c>
      <c r="J28" s="289">
        <f>I28+J27</f>
        <v>7.6409370845240462E-3</v>
      </c>
      <c r="K28" s="63">
        <v>2</v>
      </c>
      <c r="L28" s="74">
        <f ca="1">EDATE(L27,1)</f>
        <v>44092</v>
      </c>
      <c r="M28" s="56"/>
      <c r="N28" s="45">
        <f>M16-M27</f>
        <v>-50000</v>
      </c>
      <c r="O28" s="56"/>
      <c r="P28" s="56"/>
      <c r="Q28" s="73">
        <f t="shared" ref="Q28:Q72" si="3">SUM(M28+N28+O28-P28)</f>
        <v>-50000</v>
      </c>
      <c r="S28" s="63">
        <v>2</v>
      </c>
      <c r="T28" s="74">
        <f ca="1">EDATE(T27,1)</f>
        <v>44092</v>
      </c>
      <c r="U28" s="56"/>
      <c r="V28" s="45">
        <f>(30%*U16)-U27</f>
        <v>1893460</v>
      </c>
      <c r="W28" s="56"/>
      <c r="X28" s="56"/>
      <c r="Y28" s="73">
        <f t="shared" ref="Y28:Y72" si="4">SUM(U28+V28+W28-X28)</f>
        <v>1893460</v>
      </c>
      <c r="AA28" s="440">
        <v>2</v>
      </c>
      <c r="AB28" s="74">
        <f>EDATE(AB27,1)</f>
        <v>32</v>
      </c>
      <c r="AC28" s="56"/>
      <c r="AD28" s="45">
        <f>(30%*AC16)-AC27</f>
        <v>1913110</v>
      </c>
      <c r="AE28" s="56"/>
      <c r="AF28" s="56"/>
      <c r="AG28" s="73">
        <f t="shared" ref="AG28:AG64" si="5">SUM(AC28+AD28+AE28-AF28)</f>
        <v>1913110</v>
      </c>
      <c r="AI28" s="63">
        <v>2</v>
      </c>
      <c r="AJ28" s="74">
        <f ca="1">EDATE(AJ27,1)</f>
        <v>44092</v>
      </c>
      <c r="AK28" s="56"/>
      <c r="AL28" s="45">
        <f>((AK16*10%)-AK27)/12</f>
        <v>50364.166666666664</v>
      </c>
      <c r="AM28" s="56"/>
      <c r="AN28" s="56"/>
      <c r="AO28" s="73">
        <f t="shared" ref="AO28:AO72" si="6">SUM(AK28+AL28+AM28-AN28)</f>
        <v>50364.166666666664</v>
      </c>
      <c r="AQ28" s="454">
        <v>2</v>
      </c>
      <c r="AR28" s="74">
        <f>EDATE(AR27,1)</f>
        <v>32</v>
      </c>
      <c r="AS28" s="56"/>
      <c r="AT28" s="45">
        <f>((AS16*10%)-AS27)</f>
        <v>604370</v>
      </c>
      <c r="AU28" s="56"/>
      <c r="AV28" s="56"/>
      <c r="AW28" s="73">
        <f t="shared" ref="AW28:AW38" si="7">SUM(AS28+AT28+AU28-AV28)</f>
        <v>604370</v>
      </c>
      <c r="AY28" s="454">
        <v>2</v>
      </c>
      <c r="AZ28" s="74">
        <f>EDATE(AZ27,1)</f>
        <v>32</v>
      </c>
      <c r="BA28" s="56"/>
      <c r="BB28" s="45"/>
      <c r="BC28" s="73">
        <f>(BA16*10%)/20</f>
        <v>32718.5</v>
      </c>
      <c r="BD28" s="56"/>
      <c r="BE28" s="73">
        <f t="shared" ref="BE28:BE38" si="8">SUM(BA28+BB28+BC28-BD28)</f>
        <v>32718.5</v>
      </c>
    </row>
    <row r="29" spans="2:57" x14ac:dyDescent="0.45">
      <c r="B29" s="63">
        <v>3</v>
      </c>
      <c r="C29" s="74">
        <f t="shared" ref="C29:C72" ca="1" si="9">EDATE(C28,1)</f>
        <v>44122</v>
      </c>
      <c r="D29" s="56"/>
      <c r="E29" s="45"/>
      <c r="F29" s="45"/>
      <c r="G29" s="56"/>
      <c r="H29" s="73">
        <f t="shared" si="1"/>
        <v>0</v>
      </c>
      <c r="I29" s="289">
        <f t="shared" si="2"/>
        <v>0</v>
      </c>
      <c r="J29" s="289">
        <f t="shared" ref="J29:J72" si="10">I29+J28</f>
        <v>7.6409370845240462E-3</v>
      </c>
      <c r="K29" s="63">
        <v>3</v>
      </c>
      <c r="L29" s="74">
        <f t="shared" ref="L29:L72" ca="1" si="11">EDATE(L28,1)</f>
        <v>44122</v>
      </c>
      <c r="M29" s="56"/>
      <c r="N29" s="45"/>
      <c r="O29" s="56"/>
      <c r="P29" s="56"/>
      <c r="Q29" s="73">
        <f t="shared" si="3"/>
        <v>0</v>
      </c>
      <c r="S29" s="63">
        <v>3</v>
      </c>
      <c r="T29" s="74">
        <f t="shared" ref="T29:T72" ca="1" si="12">EDATE(T28,1)</f>
        <v>44122</v>
      </c>
      <c r="U29" s="56"/>
      <c r="V29" s="45"/>
      <c r="W29" s="73">
        <f>(70%*$U$16)/30</f>
        <v>151158</v>
      </c>
      <c r="X29" s="56"/>
      <c r="Y29" s="73">
        <f t="shared" si="4"/>
        <v>151158</v>
      </c>
      <c r="AA29" s="440">
        <v>3</v>
      </c>
      <c r="AB29" s="74">
        <f t="shared" ref="AB29:AB72" si="13">EDATE(AB28,1)</f>
        <v>61</v>
      </c>
      <c r="AC29" s="56"/>
      <c r="AD29" s="45"/>
      <c r="AE29" s="73">
        <f>(70%*$AC$16)/36</f>
        <v>127238.61111111111</v>
      </c>
      <c r="AF29" s="56"/>
      <c r="AG29" s="73">
        <f t="shared" si="5"/>
        <v>127238.61111111111</v>
      </c>
      <c r="AI29" s="63">
        <v>3</v>
      </c>
      <c r="AJ29" s="74">
        <f t="shared" ref="AJ29:AJ72" ca="1" si="14">EDATE(AJ28,1)</f>
        <v>44122</v>
      </c>
      <c r="AK29" s="56"/>
      <c r="AL29" s="45">
        <f t="shared" ref="AL29:AL39" si="15">AL28</f>
        <v>50364.166666666664</v>
      </c>
      <c r="AM29" s="73"/>
      <c r="AN29" s="56"/>
      <c r="AO29" s="73">
        <f t="shared" si="6"/>
        <v>50364.166666666664</v>
      </c>
      <c r="AQ29" s="454">
        <v>3</v>
      </c>
      <c r="AR29" s="74">
        <f t="shared" ref="AR29:AR72" si="16">EDATE(AR28,1)</f>
        <v>61</v>
      </c>
      <c r="AS29" s="56"/>
      <c r="AT29" s="45"/>
      <c r="AU29" s="73">
        <f>(AS16*40%)/24</f>
        <v>109061.66666666667</v>
      </c>
      <c r="AV29" s="56"/>
      <c r="AW29" s="73">
        <f t="shared" si="7"/>
        <v>109061.66666666667</v>
      </c>
      <c r="AY29" s="454">
        <v>3</v>
      </c>
      <c r="AZ29" s="74">
        <f t="shared" ref="AZ29:AZ72" si="17">EDATE(AZ28,1)</f>
        <v>61</v>
      </c>
      <c r="BA29" s="56"/>
      <c r="BB29" s="45"/>
      <c r="BC29" s="73">
        <f>BC28</f>
        <v>32718.5</v>
      </c>
      <c r="BD29" s="56"/>
      <c r="BE29" s="73">
        <f t="shared" si="8"/>
        <v>32718.5</v>
      </c>
    </row>
    <row r="30" spans="2:57" x14ac:dyDescent="0.45">
      <c r="B30" s="63">
        <v>4</v>
      </c>
      <c r="C30" s="74">
        <f t="shared" ca="1" si="9"/>
        <v>44153</v>
      </c>
      <c r="D30" s="56"/>
      <c r="E30" s="45"/>
      <c r="F30" s="45"/>
      <c r="G30" s="56"/>
      <c r="H30" s="73">
        <f t="shared" si="1"/>
        <v>0</v>
      </c>
      <c r="I30" s="289">
        <f t="shared" si="2"/>
        <v>0</v>
      </c>
      <c r="J30" s="289">
        <f t="shared" si="10"/>
        <v>7.6409370845240462E-3</v>
      </c>
      <c r="K30" s="63">
        <v>4</v>
      </c>
      <c r="L30" s="74">
        <f t="shared" ca="1" si="11"/>
        <v>44153</v>
      </c>
      <c r="M30" s="56"/>
      <c r="N30" s="56"/>
      <c r="O30" s="56"/>
      <c r="P30" s="56"/>
      <c r="Q30" s="73">
        <f t="shared" si="3"/>
        <v>0</v>
      </c>
      <c r="S30" s="63">
        <v>4</v>
      </c>
      <c r="T30" s="74">
        <f t="shared" ca="1" si="12"/>
        <v>44153</v>
      </c>
      <c r="U30" s="56"/>
      <c r="V30" s="56"/>
      <c r="W30" s="73">
        <f t="shared" ref="W30:W58" si="18">(70%*$U$16)/30</f>
        <v>151158</v>
      </c>
      <c r="X30" s="56"/>
      <c r="Y30" s="73">
        <f t="shared" si="4"/>
        <v>151158</v>
      </c>
      <c r="AA30" s="440">
        <v>4</v>
      </c>
      <c r="AB30" s="74">
        <f t="shared" si="13"/>
        <v>92</v>
      </c>
      <c r="AC30" s="56"/>
      <c r="AD30" s="56"/>
      <c r="AE30" s="73">
        <f>AE29</f>
        <v>127238.61111111111</v>
      </c>
      <c r="AF30" s="56"/>
      <c r="AG30" s="73">
        <f t="shared" si="5"/>
        <v>127238.61111111111</v>
      </c>
      <c r="AI30" s="63">
        <v>4</v>
      </c>
      <c r="AJ30" s="74">
        <f t="shared" ca="1" si="14"/>
        <v>44153</v>
      </c>
      <c r="AK30" s="56"/>
      <c r="AL30" s="45">
        <f t="shared" si="15"/>
        <v>50364.166666666664</v>
      </c>
      <c r="AM30" s="73"/>
      <c r="AN30" s="56"/>
      <c r="AO30" s="73">
        <f t="shared" si="6"/>
        <v>50364.166666666664</v>
      </c>
      <c r="AQ30" s="454">
        <v>4</v>
      </c>
      <c r="AR30" s="74">
        <f t="shared" si="16"/>
        <v>92</v>
      </c>
      <c r="AS30" s="56"/>
      <c r="AT30" s="45"/>
      <c r="AU30" s="73">
        <f>AU29</f>
        <v>109061.66666666667</v>
      </c>
      <c r="AV30" s="56"/>
      <c r="AW30" s="73">
        <f t="shared" si="7"/>
        <v>109061.66666666667</v>
      </c>
      <c r="AY30" s="454">
        <v>4</v>
      </c>
      <c r="AZ30" s="74">
        <f t="shared" si="17"/>
        <v>92</v>
      </c>
      <c r="BA30" s="56"/>
      <c r="BB30" s="45"/>
      <c r="BC30" s="73">
        <f t="shared" ref="BC30:BC50" si="19">BC29</f>
        <v>32718.5</v>
      </c>
      <c r="BD30" s="56"/>
      <c r="BE30" s="73">
        <f t="shared" si="8"/>
        <v>32718.5</v>
      </c>
    </row>
    <row r="31" spans="2:57" x14ac:dyDescent="0.45">
      <c r="B31" s="63">
        <v>5</v>
      </c>
      <c r="C31" s="74">
        <f t="shared" ca="1" si="9"/>
        <v>44183</v>
      </c>
      <c r="D31" s="56"/>
      <c r="E31" s="45"/>
      <c r="F31" s="45"/>
      <c r="G31" s="56"/>
      <c r="H31" s="73">
        <f t="shared" si="1"/>
        <v>0</v>
      </c>
      <c r="I31" s="289">
        <f t="shared" si="2"/>
        <v>0</v>
      </c>
      <c r="J31" s="289">
        <f t="shared" si="10"/>
        <v>7.6409370845240462E-3</v>
      </c>
      <c r="K31" s="63">
        <v>5</v>
      </c>
      <c r="L31" s="74">
        <f t="shared" ca="1" si="11"/>
        <v>44183</v>
      </c>
      <c r="M31" s="56"/>
      <c r="N31" s="56"/>
      <c r="O31" s="56"/>
      <c r="P31" s="56"/>
      <c r="Q31" s="73">
        <f t="shared" si="3"/>
        <v>0</v>
      </c>
      <c r="S31" s="63">
        <v>5</v>
      </c>
      <c r="T31" s="74">
        <f t="shared" ca="1" si="12"/>
        <v>44183</v>
      </c>
      <c r="U31" s="56"/>
      <c r="V31" s="56"/>
      <c r="W31" s="73">
        <f t="shared" si="18"/>
        <v>151158</v>
      </c>
      <c r="X31" s="56"/>
      <c r="Y31" s="73">
        <f t="shared" si="4"/>
        <v>151158</v>
      </c>
      <c r="AA31" s="440">
        <v>5</v>
      </c>
      <c r="AB31" s="74">
        <f t="shared" si="13"/>
        <v>122</v>
      </c>
      <c r="AC31" s="56"/>
      <c r="AD31" s="56"/>
      <c r="AE31" s="73">
        <f t="shared" ref="AE31:AE64" si="20">AE30</f>
        <v>127238.61111111111</v>
      </c>
      <c r="AF31" s="56"/>
      <c r="AG31" s="73">
        <f t="shared" si="5"/>
        <v>127238.61111111111</v>
      </c>
      <c r="AI31" s="63">
        <v>5</v>
      </c>
      <c r="AJ31" s="74">
        <f t="shared" ca="1" si="14"/>
        <v>44183</v>
      </c>
      <c r="AK31" s="56"/>
      <c r="AL31" s="45">
        <f t="shared" si="15"/>
        <v>50364.166666666664</v>
      </c>
      <c r="AM31" s="73"/>
      <c r="AN31" s="56"/>
      <c r="AO31" s="73">
        <f t="shared" si="6"/>
        <v>50364.166666666664</v>
      </c>
      <c r="AQ31" s="454">
        <v>5</v>
      </c>
      <c r="AR31" s="74">
        <f t="shared" si="16"/>
        <v>122</v>
      </c>
      <c r="AS31" s="56"/>
      <c r="AT31" s="45"/>
      <c r="AU31" s="73">
        <f t="shared" ref="AU31:AU52" si="21">AU30</f>
        <v>109061.66666666667</v>
      </c>
      <c r="AV31" s="56"/>
      <c r="AW31" s="73">
        <f t="shared" si="7"/>
        <v>109061.66666666667</v>
      </c>
      <c r="AY31" s="454">
        <v>5</v>
      </c>
      <c r="AZ31" s="74">
        <f t="shared" si="17"/>
        <v>122</v>
      </c>
      <c r="BA31" s="56"/>
      <c r="BB31" s="45"/>
      <c r="BC31" s="73">
        <f t="shared" si="19"/>
        <v>32718.5</v>
      </c>
      <c r="BD31" s="56"/>
      <c r="BE31" s="73">
        <f t="shared" si="8"/>
        <v>32718.5</v>
      </c>
    </row>
    <row r="32" spans="2:57" x14ac:dyDescent="0.45">
      <c r="B32" s="63">
        <v>6</v>
      </c>
      <c r="C32" s="74">
        <f t="shared" ca="1" si="9"/>
        <v>44214</v>
      </c>
      <c r="D32" s="56"/>
      <c r="E32" s="45"/>
      <c r="F32" s="45"/>
      <c r="G32" s="56"/>
      <c r="H32" s="73">
        <f t="shared" si="1"/>
        <v>0</v>
      </c>
      <c r="I32" s="289">
        <f t="shared" si="2"/>
        <v>0</v>
      </c>
      <c r="J32" s="289">
        <f t="shared" si="10"/>
        <v>7.6409370845240462E-3</v>
      </c>
      <c r="K32" s="63">
        <v>6</v>
      </c>
      <c r="L32" s="74">
        <f t="shared" ca="1" si="11"/>
        <v>44214</v>
      </c>
      <c r="M32" s="56"/>
      <c r="N32" s="56"/>
      <c r="O32" s="56"/>
      <c r="P32" s="56"/>
      <c r="Q32" s="73">
        <f t="shared" si="3"/>
        <v>0</v>
      </c>
      <c r="S32" s="63">
        <v>6</v>
      </c>
      <c r="T32" s="74">
        <f t="shared" ca="1" si="12"/>
        <v>44214</v>
      </c>
      <c r="U32" s="56"/>
      <c r="V32" s="56"/>
      <c r="W32" s="73">
        <f t="shared" si="18"/>
        <v>151158</v>
      </c>
      <c r="X32" s="56"/>
      <c r="Y32" s="73">
        <f t="shared" si="4"/>
        <v>151158</v>
      </c>
      <c r="AA32" s="440">
        <v>6</v>
      </c>
      <c r="AB32" s="74">
        <f t="shared" si="13"/>
        <v>153</v>
      </c>
      <c r="AC32" s="56"/>
      <c r="AD32" s="56"/>
      <c r="AE32" s="73">
        <f t="shared" si="20"/>
        <v>127238.61111111111</v>
      </c>
      <c r="AF32" s="56"/>
      <c r="AG32" s="73">
        <f t="shared" si="5"/>
        <v>127238.61111111111</v>
      </c>
      <c r="AI32" s="63">
        <v>6</v>
      </c>
      <c r="AJ32" s="74">
        <f t="shared" ca="1" si="14"/>
        <v>44214</v>
      </c>
      <c r="AK32" s="56"/>
      <c r="AL32" s="45">
        <f t="shared" si="15"/>
        <v>50364.166666666664</v>
      </c>
      <c r="AM32" s="73"/>
      <c r="AN32" s="56"/>
      <c r="AO32" s="73">
        <f t="shared" si="6"/>
        <v>50364.166666666664</v>
      </c>
      <c r="AQ32" s="454">
        <v>6</v>
      </c>
      <c r="AR32" s="74">
        <f t="shared" si="16"/>
        <v>153</v>
      </c>
      <c r="AS32" s="56"/>
      <c r="AT32" s="45"/>
      <c r="AU32" s="73">
        <f t="shared" si="21"/>
        <v>109061.66666666667</v>
      </c>
      <c r="AV32" s="56"/>
      <c r="AW32" s="73">
        <f t="shared" si="7"/>
        <v>109061.66666666667</v>
      </c>
      <c r="AY32" s="454">
        <v>6</v>
      </c>
      <c r="AZ32" s="74">
        <f t="shared" si="17"/>
        <v>153</v>
      </c>
      <c r="BA32" s="56"/>
      <c r="BB32" s="45"/>
      <c r="BC32" s="73">
        <f t="shared" si="19"/>
        <v>32718.5</v>
      </c>
      <c r="BD32" s="56"/>
      <c r="BE32" s="73">
        <f t="shared" si="8"/>
        <v>32718.5</v>
      </c>
    </row>
    <row r="33" spans="2:57" x14ac:dyDescent="0.45">
      <c r="B33" s="63">
        <v>7</v>
      </c>
      <c r="C33" s="74">
        <f t="shared" ca="1" si="9"/>
        <v>44245</v>
      </c>
      <c r="D33" s="56"/>
      <c r="E33" s="45"/>
      <c r="F33" s="45"/>
      <c r="G33" s="56"/>
      <c r="H33" s="73">
        <f t="shared" si="1"/>
        <v>0</v>
      </c>
      <c r="I33" s="289">
        <f t="shared" si="2"/>
        <v>0</v>
      </c>
      <c r="J33" s="289">
        <f t="shared" si="10"/>
        <v>7.6409370845240462E-3</v>
      </c>
      <c r="K33" s="63">
        <v>7</v>
      </c>
      <c r="L33" s="74">
        <f t="shared" ca="1" si="11"/>
        <v>44245</v>
      </c>
      <c r="M33" s="56"/>
      <c r="N33" s="56"/>
      <c r="O33" s="56"/>
      <c r="P33" s="56"/>
      <c r="Q33" s="73">
        <f t="shared" si="3"/>
        <v>0</v>
      </c>
      <c r="S33" s="63">
        <v>7</v>
      </c>
      <c r="T33" s="74">
        <f t="shared" ca="1" si="12"/>
        <v>44245</v>
      </c>
      <c r="U33" s="56"/>
      <c r="V33" s="56"/>
      <c r="W33" s="73">
        <f t="shared" si="18"/>
        <v>151158</v>
      </c>
      <c r="X33" s="56"/>
      <c r="Y33" s="73">
        <f t="shared" si="4"/>
        <v>151158</v>
      </c>
      <c r="AA33" s="440">
        <v>7</v>
      </c>
      <c r="AB33" s="74">
        <f t="shared" si="13"/>
        <v>183</v>
      </c>
      <c r="AC33" s="56"/>
      <c r="AD33" s="56"/>
      <c r="AE33" s="73">
        <f t="shared" si="20"/>
        <v>127238.61111111111</v>
      </c>
      <c r="AF33" s="56"/>
      <c r="AG33" s="73">
        <f t="shared" si="5"/>
        <v>127238.61111111111</v>
      </c>
      <c r="AI33" s="63">
        <v>7</v>
      </c>
      <c r="AJ33" s="74">
        <f t="shared" ca="1" si="14"/>
        <v>44245</v>
      </c>
      <c r="AK33" s="56"/>
      <c r="AL33" s="45">
        <f t="shared" si="15"/>
        <v>50364.166666666664</v>
      </c>
      <c r="AM33" s="73"/>
      <c r="AN33" s="56"/>
      <c r="AO33" s="73">
        <f t="shared" si="6"/>
        <v>50364.166666666664</v>
      </c>
      <c r="AQ33" s="454">
        <v>7</v>
      </c>
      <c r="AR33" s="74">
        <f t="shared" si="16"/>
        <v>183</v>
      </c>
      <c r="AS33" s="56"/>
      <c r="AT33" s="45"/>
      <c r="AU33" s="73">
        <f t="shared" si="21"/>
        <v>109061.66666666667</v>
      </c>
      <c r="AV33" s="56"/>
      <c r="AW33" s="73">
        <f t="shared" si="7"/>
        <v>109061.66666666667</v>
      </c>
      <c r="AY33" s="454">
        <v>7</v>
      </c>
      <c r="AZ33" s="74">
        <f t="shared" si="17"/>
        <v>183</v>
      </c>
      <c r="BA33" s="56"/>
      <c r="BB33" s="45">
        <f>BA16*2%</f>
        <v>130874</v>
      </c>
      <c r="BC33" s="73"/>
      <c r="BD33" s="56"/>
      <c r="BE33" s="73">
        <f t="shared" si="8"/>
        <v>130874</v>
      </c>
    </row>
    <row r="34" spans="2:57" x14ac:dyDescent="0.45">
      <c r="B34" s="63">
        <v>8</v>
      </c>
      <c r="C34" s="74">
        <f t="shared" ca="1" si="9"/>
        <v>44273</v>
      </c>
      <c r="D34" s="56"/>
      <c r="E34" s="45"/>
      <c r="F34" s="45"/>
      <c r="G34" s="56"/>
      <c r="H34" s="73">
        <f t="shared" si="1"/>
        <v>0</v>
      </c>
      <c r="I34" s="289">
        <f t="shared" si="2"/>
        <v>0</v>
      </c>
      <c r="J34" s="289">
        <f t="shared" si="10"/>
        <v>7.6409370845240462E-3</v>
      </c>
      <c r="K34" s="63">
        <v>8</v>
      </c>
      <c r="L34" s="74">
        <f t="shared" ca="1" si="11"/>
        <v>44273</v>
      </c>
      <c r="M34" s="56"/>
      <c r="N34" s="56"/>
      <c r="O34" s="56"/>
      <c r="P34" s="56"/>
      <c r="Q34" s="73">
        <f t="shared" si="3"/>
        <v>0</v>
      </c>
      <c r="S34" s="63">
        <v>8</v>
      </c>
      <c r="T34" s="74">
        <f t="shared" ca="1" si="12"/>
        <v>44273</v>
      </c>
      <c r="U34" s="56"/>
      <c r="V34" s="56"/>
      <c r="W34" s="73">
        <f t="shared" si="18"/>
        <v>151158</v>
      </c>
      <c r="X34" s="56"/>
      <c r="Y34" s="73">
        <f t="shared" si="4"/>
        <v>151158</v>
      </c>
      <c r="AA34" s="440">
        <v>8</v>
      </c>
      <c r="AB34" s="74">
        <f t="shared" si="13"/>
        <v>214</v>
      </c>
      <c r="AC34" s="56"/>
      <c r="AD34" s="56"/>
      <c r="AE34" s="73">
        <f t="shared" si="20"/>
        <v>127238.61111111111</v>
      </c>
      <c r="AF34" s="56"/>
      <c r="AG34" s="73">
        <f t="shared" si="5"/>
        <v>127238.61111111111</v>
      </c>
      <c r="AI34" s="63">
        <v>8</v>
      </c>
      <c r="AJ34" s="74">
        <f t="shared" ca="1" si="14"/>
        <v>44273</v>
      </c>
      <c r="AK34" s="56"/>
      <c r="AL34" s="45">
        <f t="shared" si="15"/>
        <v>50364.166666666664</v>
      </c>
      <c r="AM34" s="73"/>
      <c r="AN34" s="56"/>
      <c r="AO34" s="73">
        <f t="shared" si="6"/>
        <v>50364.166666666664</v>
      </c>
      <c r="AQ34" s="454">
        <v>8</v>
      </c>
      <c r="AR34" s="74">
        <f t="shared" si="16"/>
        <v>214</v>
      </c>
      <c r="AS34" s="56"/>
      <c r="AT34" s="45"/>
      <c r="AU34" s="73">
        <f t="shared" si="21"/>
        <v>109061.66666666667</v>
      </c>
      <c r="AV34" s="56"/>
      <c r="AW34" s="73">
        <f t="shared" si="7"/>
        <v>109061.66666666667</v>
      </c>
      <c r="AY34" s="454">
        <v>8</v>
      </c>
      <c r="AZ34" s="74">
        <f t="shared" si="17"/>
        <v>214</v>
      </c>
      <c r="BA34" s="56"/>
      <c r="BB34" s="45"/>
      <c r="BC34" s="73">
        <f>BC32</f>
        <v>32718.5</v>
      </c>
      <c r="BD34" s="56"/>
      <c r="BE34" s="73">
        <f t="shared" si="8"/>
        <v>32718.5</v>
      </c>
    </row>
    <row r="35" spans="2:57" x14ac:dyDescent="0.45">
      <c r="B35" s="63">
        <v>9</v>
      </c>
      <c r="C35" s="74">
        <f t="shared" ca="1" si="9"/>
        <v>44304</v>
      </c>
      <c r="D35" s="56"/>
      <c r="E35" s="45"/>
      <c r="F35" s="45"/>
      <c r="G35" s="56"/>
      <c r="H35" s="73">
        <f t="shared" si="1"/>
        <v>0</v>
      </c>
      <c r="I35" s="289">
        <f t="shared" si="2"/>
        <v>0</v>
      </c>
      <c r="J35" s="289">
        <f t="shared" si="10"/>
        <v>7.6409370845240462E-3</v>
      </c>
      <c r="K35" s="63">
        <v>9</v>
      </c>
      <c r="L35" s="74">
        <f t="shared" ca="1" si="11"/>
        <v>44304</v>
      </c>
      <c r="M35" s="56"/>
      <c r="N35" s="56"/>
      <c r="O35" s="56"/>
      <c r="P35" s="56"/>
      <c r="Q35" s="73">
        <f t="shared" si="3"/>
        <v>0</v>
      </c>
      <c r="S35" s="63">
        <v>9</v>
      </c>
      <c r="T35" s="74">
        <f t="shared" ca="1" si="12"/>
        <v>44304</v>
      </c>
      <c r="U35" s="56"/>
      <c r="V35" s="56"/>
      <c r="W35" s="73">
        <f t="shared" si="18"/>
        <v>151158</v>
      </c>
      <c r="X35" s="56"/>
      <c r="Y35" s="73">
        <f t="shared" si="4"/>
        <v>151158</v>
      </c>
      <c r="AA35" s="440">
        <v>9</v>
      </c>
      <c r="AB35" s="74">
        <f t="shared" si="13"/>
        <v>245</v>
      </c>
      <c r="AC35" s="56"/>
      <c r="AD35" s="56"/>
      <c r="AE35" s="73">
        <f t="shared" si="20"/>
        <v>127238.61111111111</v>
      </c>
      <c r="AF35" s="56"/>
      <c r="AG35" s="73">
        <f t="shared" si="5"/>
        <v>127238.61111111111</v>
      </c>
      <c r="AI35" s="63">
        <v>9</v>
      </c>
      <c r="AJ35" s="74">
        <f t="shared" ca="1" si="14"/>
        <v>44304</v>
      </c>
      <c r="AK35" s="56"/>
      <c r="AL35" s="45">
        <f t="shared" si="15"/>
        <v>50364.166666666664</v>
      </c>
      <c r="AM35" s="73"/>
      <c r="AN35" s="56"/>
      <c r="AO35" s="73">
        <f t="shared" si="6"/>
        <v>50364.166666666664</v>
      </c>
      <c r="AQ35" s="454">
        <v>9</v>
      </c>
      <c r="AR35" s="74">
        <f t="shared" si="16"/>
        <v>245</v>
      </c>
      <c r="AS35" s="56"/>
      <c r="AT35" s="45"/>
      <c r="AU35" s="73">
        <f t="shared" si="21"/>
        <v>109061.66666666667</v>
      </c>
      <c r="AV35" s="56"/>
      <c r="AW35" s="73">
        <f t="shared" si="7"/>
        <v>109061.66666666667</v>
      </c>
      <c r="AY35" s="454">
        <v>9</v>
      </c>
      <c r="AZ35" s="74">
        <f t="shared" si="17"/>
        <v>245</v>
      </c>
      <c r="BA35" s="56"/>
      <c r="BB35" s="45"/>
      <c r="BC35" s="73">
        <f t="shared" si="19"/>
        <v>32718.5</v>
      </c>
      <c r="BD35" s="56"/>
      <c r="BE35" s="73">
        <f t="shared" si="8"/>
        <v>32718.5</v>
      </c>
    </row>
    <row r="36" spans="2:57" x14ac:dyDescent="0.45">
      <c r="B36" s="63">
        <v>10</v>
      </c>
      <c r="C36" s="74">
        <f t="shared" ca="1" si="9"/>
        <v>44334</v>
      </c>
      <c r="D36" s="56"/>
      <c r="E36" s="45"/>
      <c r="F36" s="45"/>
      <c r="G36" s="56"/>
      <c r="H36" s="73">
        <f t="shared" si="1"/>
        <v>0</v>
      </c>
      <c r="I36" s="289">
        <f t="shared" si="2"/>
        <v>0</v>
      </c>
      <c r="J36" s="289">
        <f t="shared" si="10"/>
        <v>7.6409370845240462E-3</v>
      </c>
      <c r="K36" s="63">
        <v>10</v>
      </c>
      <c r="L36" s="74">
        <f t="shared" ca="1" si="11"/>
        <v>44334</v>
      </c>
      <c r="M36" s="56"/>
      <c r="N36" s="56"/>
      <c r="O36" s="56"/>
      <c r="P36" s="56"/>
      <c r="Q36" s="73">
        <f t="shared" si="3"/>
        <v>0</v>
      </c>
      <c r="S36" s="63">
        <v>10</v>
      </c>
      <c r="T36" s="74">
        <f t="shared" ca="1" si="12"/>
        <v>44334</v>
      </c>
      <c r="U36" s="56"/>
      <c r="V36" s="56"/>
      <c r="W36" s="73">
        <f t="shared" si="18"/>
        <v>151158</v>
      </c>
      <c r="X36" s="56"/>
      <c r="Y36" s="73">
        <f t="shared" si="4"/>
        <v>151158</v>
      </c>
      <c r="AA36" s="440">
        <v>10</v>
      </c>
      <c r="AB36" s="74">
        <f t="shared" si="13"/>
        <v>275</v>
      </c>
      <c r="AC36" s="56"/>
      <c r="AD36" s="56"/>
      <c r="AE36" s="73">
        <f t="shared" si="20"/>
        <v>127238.61111111111</v>
      </c>
      <c r="AF36" s="56"/>
      <c r="AG36" s="73">
        <f t="shared" si="5"/>
        <v>127238.61111111111</v>
      </c>
      <c r="AI36" s="63">
        <v>10</v>
      </c>
      <c r="AJ36" s="74">
        <f t="shared" ca="1" si="14"/>
        <v>44334</v>
      </c>
      <c r="AK36" s="56"/>
      <c r="AL36" s="45">
        <f t="shared" si="15"/>
        <v>50364.166666666664</v>
      </c>
      <c r="AM36" s="73"/>
      <c r="AN36" s="56"/>
      <c r="AO36" s="73">
        <f t="shared" si="6"/>
        <v>50364.166666666664</v>
      </c>
      <c r="AQ36" s="454">
        <v>10</v>
      </c>
      <c r="AR36" s="74">
        <f t="shared" si="16"/>
        <v>275</v>
      </c>
      <c r="AS36" s="56"/>
      <c r="AT36" s="45"/>
      <c r="AU36" s="73">
        <f t="shared" si="21"/>
        <v>109061.66666666667</v>
      </c>
      <c r="AV36" s="56"/>
      <c r="AW36" s="73">
        <f t="shared" si="7"/>
        <v>109061.66666666667</v>
      </c>
      <c r="AY36" s="454">
        <v>10</v>
      </c>
      <c r="AZ36" s="74">
        <f t="shared" si="17"/>
        <v>275</v>
      </c>
      <c r="BA36" s="56"/>
      <c r="BB36" s="45"/>
      <c r="BC36" s="73">
        <f t="shared" si="19"/>
        <v>32718.5</v>
      </c>
      <c r="BD36" s="56"/>
      <c r="BE36" s="73">
        <f t="shared" si="8"/>
        <v>32718.5</v>
      </c>
    </row>
    <row r="37" spans="2:57" x14ac:dyDescent="0.45">
      <c r="B37" s="63">
        <v>11</v>
      </c>
      <c r="C37" s="74">
        <f t="shared" ca="1" si="9"/>
        <v>44365</v>
      </c>
      <c r="D37" s="56"/>
      <c r="E37" s="45"/>
      <c r="F37" s="45"/>
      <c r="G37" s="56"/>
      <c r="H37" s="73">
        <f t="shared" si="1"/>
        <v>0</v>
      </c>
      <c r="I37" s="289">
        <f t="shared" si="2"/>
        <v>0</v>
      </c>
      <c r="J37" s="289">
        <f t="shared" si="10"/>
        <v>7.6409370845240462E-3</v>
      </c>
      <c r="K37" s="63">
        <v>11</v>
      </c>
      <c r="L37" s="74">
        <f t="shared" ca="1" si="11"/>
        <v>44365</v>
      </c>
      <c r="M37" s="56"/>
      <c r="N37" s="56"/>
      <c r="O37" s="56"/>
      <c r="P37" s="56"/>
      <c r="Q37" s="73">
        <f t="shared" si="3"/>
        <v>0</v>
      </c>
      <c r="S37" s="63">
        <v>11</v>
      </c>
      <c r="T37" s="74">
        <f t="shared" ca="1" si="12"/>
        <v>44365</v>
      </c>
      <c r="U37" s="56"/>
      <c r="V37" s="56"/>
      <c r="W37" s="73">
        <f t="shared" si="18"/>
        <v>151158</v>
      </c>
      <c r="X37" s="56"/>
      <c r="Y37" s="73">
        <f t="shared" si="4"/>
        <v>151158</v>
      </c>
      <c r="AA37" s="440">
        <v>11</v>
      </c>
      <c r="AB37" s="74">
        <f t="shared" si="13"/>
        <v>306</v>
      </c>
      <c r="AC37" s="56"/>
      <c r="AD37" s="56"/>
      <c r="AE37" s="73">
        <f t="shared" si="20"/>
        <v>127238.61111111111</v>
      </c>
      <c r="AF37" s="56"/>
      <c r="AG37" s="73">
        <f t="shared" si="5"/>
        <v>127238.61111111111</v>
      </c>
      <c r="AI37" s="63">
        <v>11</v>
      </c>
      <c r="AJ37" s="74">
        <f t="shared" ca="1" si="14"/>
        <v>44365</v>
      </c>
      <c r="AK37" s="56"/>
      <c r="AL37" s="45">
        <f t="shared" si="15"/>
        <v>50364.166666666664</v>
      </c>
      <c r="AM37" s="73"/>
      <c r="AN37" s="56"/>
      <c r="AO37" s="73">
        <f t="shared" si="6"/>
        <v>50364.166666666664</v>
      </c>
      <c r="AQ37" s="454">
        <v>11</v>
      </c>
      <c r="AR37" s="74">
        <f t="shared" si="16"/>
        <v>306</v>
      </c>
      <c r="AS37" s="56"/>
      <c r="AT37" s="45"/>
      <c r="AU37" s="73">
        <f t="shared" si="21"/>
        <v>109061.66666666667</v>
      </c>
      <c r="AV37" s="56"/>
      <c r="AW37" s="73">
        <f t="shared" si="7"/>
        <v>109061.66666666667</v>
      </c>
      <c r="AY37" s="454">
        <v>11</v>
      </c>
      <c r="AZ37" s="74">
        <f t="shared" si="17"/>
        <v>306</v>
      </c>
      <c r="BA37" s="56"/>
      <c r="BB37" s="45"/>
      <c r="BC37" s="73">
        <f t="shared" si="19"/>
        <v>32718.5</v>
      </c>
      <c r="BD37" s="56"/>
      <c r="BE37" s="73">
        <f t="shared" si="8"/>
        <v>32718.5</v>
      </c>
    </row>
    <row r="38" spans="2:57" x14ac:dyDescent="0.45">
      <c r="B38" s="63">
        <v>12</v>
      </c>
      <c r="C38" s="74">
        <f t="shared" ca="1" si="9"/>
        <v>44395</v>
      </c>
      <c r="D38" s="56"/>
      <c r="E38" s="45"/>
      <c r="F38" s="45"/>
      <c r="G38" s="56"/>
      <c r="H38" s="73">
        <f t="shared" si="1"/>
        <v>0</v>
      </c>
      <c r="I38" s="289">
        <f t="shared" si="2"/>
        <v>0</v>
      </c>
      <c r="J38" s="289">
        <f t="shared" si="10"/>
        <v>7.6409370845240462E-3</v>
      </c>
      <c r="K38" s="63">
        <v>12</v>
      </c>
      <c r="L38" s="74">
        <f t="shared" ca="1" si="11"/>
        <v>44395</v>
      </c>
      <c r="M38" s="56"/>
      <c r="N38" s="56"/>
      <c r="O38" s="56"/>
      <c r="P38" s="56"/>
      <c r="Q38" s="73">
        <f t="shared" si="3"/>
        <v>0</v>
      </c>
      <c r="S38" s="63">
        <v>12</v>
      </c>
      <c r="T38" s="74">
        <f t="shared" ca="1" si="12"/>
        <v>44395</v>
      </c>
      <c r="U38" s="56"/>
      <c r="V38" s="56"/>
      <c r="W38" s="73">
        <f t="shared" si="18"/>
        <v>151158</v>
      </c>
      <c r="X38" s="56"/>
      <c r="Y38" s="73">
        <f t="shared" si="4"/>
        <v>151158</v>
      </c>
      <c r="AA38" s="440">
        <v>12</v>
      </c>
      <c r="AB38" s="74">
        <f t="shared" si="13"/>
        <v>336</v>
      </c>
      <c r="AC38" s="56"/>
      <c r="AD38" s="56"/>
      <c r="AE38" s="73">
        <f t="shared" si="20"/>
        <v>127238.61111111111</v>
      </c>
      <c r="AF38" s="56"/>
      <c r="AG38" s="73">
        <f t="shared" si="5"/>
        <v>127238.61111111111</v>
      </c>
      <c r="AI38" s="63">
        <v>12</v>
      </c>
      <c r="AJ38" s="74">
        <f t="shared" ca="1" si="14"/>
        <v>44395</v>
      </c>
      <c r="AK38" s="56"/>
      <c r="AL38" s="45">
        <f t="shared" si="15"/>
        <v>50364.166666666664</v>
      </c>
      <c r="AM38" s="73"/>
      <c r="AN38" s="56"/>
      <c r="AO38" s="73">
        <f t="shared" si="6"/>
        <v>50364.166666666664</v>
      </c>
      <c r="AQ38" s="454">
        <v>12</v>
      </c>
      <c r="AR38" s="74">
        <f t="shared" si="16"/>
        <v>336</v>
      </c>
      <c r="AS38" s="56"/>
      <c r="AT38" s="45"/>
      <c r="AU38" s="73">
        <f t="shared" si="21"/>
        <v>109061.66666666667</v>
      </c>
      <c r="AV38" s="56"/>
      <c r="AW38" s="73">
        <f t="shared" si="7"/>
        <v>109061.66666666667</v>
      </c>
      <c r="AY38" s="454">
        <v>12</v>
      </c>
      <c r="AZ38" s="74">
        <f t="shared" si="17"/>
        <v>336</v>
      </c>
      <c r="BA38" s="56"/>
      <c r="BB38" s="45"/>
      <c r="BC38" s="73">
        <f t="shared" si="19"/>
        <v>32718.5</v>
      </c>
      <c r="BD38" s="56"/>
      <c r="BE38" s="73">
        <f t="shared" si="8"/>
        <v>32718.5</v>
      </c>
    </row>
    <row r="39" spans="2:57" x14ac:dyDescent="0.45">
      <c r="B39" s="63">
        <v>13</v>
      </c>
      <c r="C39" s="74">
        <f t="shared" ca="1" si="9"/>
        <v>44426</v>
      </c>
      <c r="D39" s="56"/>
      <c r="E39" s="45"/>
      <c r="F39" s="45"/>
      <c r="G39" s="56"/>
      <c r="H39" s="73">
        <f t="shared" si="1"/>
        <v>0</v>
      </c>
      <c r="I39" s="289">
        <f t="shared" si="2"/>
        <v>0</v>
      </c>
      <c r="J39" s="289">
        <f t="shared" si="10"/>
        <v>7.6409370845240462E-3</v>
      </c>
      <c r="K39" s="63">
        <v>13</v>
      </c>
      <c r="L39" s="74">
        <f t="shared" ca="1" si="11"/>
        <v>44426</v>
      </c>
      <c r="M39" s="56"/>
      <c r="N39" s="56"/>
      <c r="O39" s="56"/>
      <c r="P39" s="56"/>
      <c r="Q39" s="73">
        <f t="shared" si="3"/>
        <v>0</v>
      </c>
      <c r="S39" s="63">
        <v>13</v>
      </c>
      <c r="T39" s="74">
        <f t="shared" ca="1" si="12"/>
        <v>44426</v>
      </c>
      <c r="U39" s="56"/>
      <c r="V39" s="56"/>
      <c r="W39" s="73">
        <f t="shared" si="18"/>
        <v>151158</v>
      </c>
      <c r="X39" s="56"/>
      <c r="Y39" s="73">
        <f t="shared" si="4"/>
        <v>151158</v>
      </c>
      <c r="AA39" s="440">
        <v>13</v>
      </c>
      <c r="AB39" s="74">
        <f t="shared" si="13"/>
        <v>367</v>
      </c>
      <c r="AC39" s="56"/>
      <c r="AD39" s="56"/>
      <c r="AE39" s="73">
        <f t="shared" si="20"/>
        <v>127238.61111111111</v>
      </c>
      <c r="AF39" s="56"/>
      <c r="AG39" s="73">
        <f t="shared" si="5"/>
        <v>127238.61111111111</v>
      </c>
      <c r="AI39" s="63">
        <v>13</v>
      </c>
      <c r="AJ39" s="74">
        <f t="shared" ca="1" si="14"/>
        <v>44426</v>
      </c>
      <c r="AK39" s="56"/>
      <c r="AL39" s="45">
        <f t="shared" si="15"/>
        <v>50364.166666666664</v>
      </c>
      <c r="AM39" s="73"/>
      <c r="AN39" s="56"/>
      <c r="AO39" s="73">
        <f>SUM(AK39+AL39+AM39-AN39)</f>
        <v>50364.166666666664</v>
      </c>
      <c r="AQ39" s="454">
        <v>13</v>
      </c>
      <c r="AR39" s="74">
        <f t="shared" si="16"/>
        <v>367</v>
      </c>
      <c r="AS39" s="56"/>
      <c r="AT39" s="45"/>
      <c r="AU39" s="73">
        <f t="shared" si="21"/>
        <v>109061.66666666667</v>
      </c>
      <c r="AV39" s="56"/>
      <c r="AW39" s="73">
        <f>SUM(AS39+AT39+AU39-AV39)</f>
        <v>109061.66666666667</v>
      </c>
      <c r="AY39" s="454">
        <v>13</v>
      </c>
      <c r="AZ39" s="74">
        <f t="shared" si="17"/>
        <v>367</v>
      </c>
      <c r="BA39" s="56"/>
      <c r="BB39" s="45">
        <f>BB33</f>
        <v>130874</v>
      </c>
      <c r="BC39" s="73"/>
      <c r="BD39" s="56"/>
      <c r="BE39" s="73">
        <f>SUM(BA39+BB39+BC39-BD39)</f>
        <v>130874</v>
      </c>
    </row>
    <row r="40" spans="2:57" x14ac:dyDescent="0.45">
      <c r="B40" s="63">
        <v>14</v>
      </c>
      <c r="C40" s="74">
        <f t="shared" ca="1" si="9"/>
        <v>44457</v>
      </c>
      <c r="D40" s="56"/>
      <c r="E40" s="45"/>
      <c r="F40" s="45"/>
      <c r="G40" s="56"/>
      <c r="H40" s="73">
        <f t="shared" si="1"/>
        <v>0</v>
      </c>
      <c r="I40" s="289">
        <f t="shared" si="2"/>
        <v>0</v>
      </c>
      <c r="J40" s="289">
        <f t="shared" si="10"/>
        <v>7.6409370845240462E-3</v>
      </c>
      <c r="K40" s="63">
        <v>14</v>
      </c>
      <c r="L40" s="74">
        <f t="shared" ca="1" si="11"/>
        <v>44457</v>
      </c>
      <c r="M40" s="56"/>
      <c r="N40" s="56"/>
      <c r="O40" s="56"/>
      <c r="P40" s="56"/>
      <c r="Q40" s="73">
        <f t="shared" si="3"/>
        <v>0</v>
      </c>
      <c r="S40" s="63">
        <v>14</v>
      </c>
      <c r="T40" s="74">
        <f t="shared" ca="1" si="12"/>
        <v>44457</v>
      </c>
      <c r="U40" s="56"/>
      <c r="V40" s="56"/>
      <c r="W40" s="73">
        <f t="shared" si="18"/>
        <v>151158</v>
      </c>
      <c r="X40" s="56"/>
      <c r="Y40" s="73">
        <f t="shared" si="4"/>
        <v>151158</v>
      </c>
      <c r="AA40" s="440">
        <v>14</v>
      </c>
      <c r="AB40" s="74">
        <f t="shared" si="13"/>
        <v>398</v>
      </c>
      <c r="AC40" s="56"/>
      <c r="AD40" s="56"/>
      <c r="AE40" s="73">
        <f t="shared" si="20"/>
        <v>127238.61111111111</v>
      </c>
      <c r="AF40" s="56"/>
      <c r="AG40" s="73">
        <f t="shared" si="5"/>
        <v>127238.61111111111</v>
      </c>
      <c r="AI40" s="63">
        <v>14</v>
      </c>
      <c r="AJ40" s="74">
        <f t="shared" ca="1" si="14"/>
        <v>44457</v>
      </c>
      <c r="AK40" s="56"/>
      <c r="AL40" s="56"/>
      <c r="AM40" s="73">
        <f>AK16*90%</f>
        <v>5889330</v>
      </c>
      <c r="AN40" s="56"/>
      <c r="AO40" s="73">
        <f>SUM(AK40+AL40+AM40-AN40)</f>
        <v>5889330</v>
      </c>
      <c r="AQ40" s="454">
        <v>14</v>
      </c>
      <c r="AR40" s="74">
        <f t="shared" si="16"/>
        <v>398</v>
      </c>
      <c r="AS40" s="56"/>
      <c r="AT40" s="56"/>
      <c r="AU40" s="73">
        <f t="shared" si="21"/>
        <v>109061.66666666667</v>
      </c>
      <c r="AV40" s="56"/>
      <c r="AW40" s="73">
        <f>SUM(AS40+AT40+AU40-AV40)</f>
        <v>109061.66666666667</v>
      </c>
      <c r="AY40" s="454">
        <v>14</v>
      </c>
      <c r="AZ40" s="74">
        <f t="shared" si="17"/>
        <v>398</v>
      </c>
      <c r="BA40" s="56"/>
      <c r="BB40" s="56"/>
      <c r="BC40" s="73">
        <f>BC38</f>
        <v>32718.5</v>
      </c>
      <c r="BD40" s="56"/>
      <c r="BE40" s="73">
        <f>SUM(BA40+BB40+BC40-BD40)</f>
        <v>32718.5</v>
      </c>
    </row>
    <row r="41" spans="2:57" x14ac:dyDescent="0.45">
      <c r="B41" s="63">
        <v>15</v>
      </c>
      <c r="C41" s="74">
        <f t="shared" ca="1" si="9"/>
        <v>44487</v>
      </c>
      <c r="D41" s="56"/>
      <c r="E41" s="45"/>
      <c r="F41" s="45"/>
      <c r="G41" s="56"/>
      <c r="H41" s="73">
        <f t="shared" ref="H41:H72" si="22">SUM(D41+E41+F41-G41)</f>
        <v>0</v>
      </c>
      <c r="I41" s="289">
        <f t="shared" si="2"/>
        <v>0</v>
      </c>
      <c r="J41" s="289">
        <f t="shared" si="10"/>
        <v>7.6409370845240462E-3</v>
      </c>
      <c r="K41" s="63">
        <v>15</v>
      </c>
      <c r="L41" s="74">
        <f t="shared" ca="1" si="11"/>
        <v>44487</v>
      </c>
      <c r="M41" s="56"/>
      <c r="N41" s="56"/>
      <c r="O41" s="56"/>
      <c r="P41" s="56"/>
      <c r="Q41" s="73">
        <f t="shared" si="3"/>
        <v>0</v>
      </c>
      <c r="S41" s="63">
        <v>15</v>
      </c>
      <c r="T41" s="74">
        <f t="shared" ca="1" si="12"/>
        <v>44487</v>
      </c>
      <c r="U41" s="56"/>
      <c r="V41" s="56"/>
      <c r="W41" s="73">
        <f t="shared" si="18"/>
        <v>151158</v>
      </c>
      <c r="X41" s="56"/>
      <c r="Y41" s="73">
        <f t="shared" si="4"/>
        <v>151158</v>
      </c>
      <c r="AA41" s="440">
        <v>15</v>
      </c>
      <c r="AB41" s="74">
        <f t="shared" si="13"/>
        <v>426</v>
      </c>
      <c r="AC41" s="56"/>
      <c r="AD41" s="56"/>
      <c r="AE41" s="73">
        <f t="shared" si="20"/>
        <v>127238.61111111111</v>
      </c>
      <c r="AF41" s="56"/>
      <c r="AG41" s="73">
        <f t="shared" si="5"/>
        <v>127238.61111111111</v>
      </c>
      <c r="AI41" s="63">
        <v>15</v>
      </c>
      <c r="AJ41" s="74">
        <f t="shared" ca="1" si="14"/>
        <v>44487</v>
      </c>
      <c r="AK41" s="56"/>
      <c r="AL41" s="56"/>
      <c r="AM41" s="73"/>
      <c r="AN41" s="56"/>
      <c r="AO41" s="73">
        <f t="shared" si="6"/>
        <v>0</v>
      </c>
      <c r="AQ41" s="454">
        <v>15</v>
      </c>
      <c r="AR41" s="74">
        <f t="shared" si="16"/>
        <v>426</v>
      </c>
      <c r="AS41" s="56"/>
      <c r="AT41" s="56"/>
      <c r="AU41" s="73">
        <f t="shared" si="21"/>
        <v>109061.66666666667</v>
      </c>
      <c r="AV41" s="56"/>
      <c r="AW41" s="73">
        <f t="shared" ref="AW41:AW45" si="23">SUM(AS41+AT41+AU41-AV41)</f>
        <v>109061.66666666667</v>
      </c>
      <c r="AY41" s="454">
        <v>15</v>
      </c>
      <c r="AZ41" s="74">
        <f t="shared" si="17"/>
        <v>426</v>
      </c>
      <c r="BA41" s="56"/>
      <c r="BB41" s="56"/>
      <c r="BC41" s="73">
        <f t="shared" si="19"/>
        <v>32718.5</v>
      </c>
      <c r="BD41" s="56"/>
      <c r="BE41" s="73">
        <f t="shared" ref="BE41:BE45" si="24">SUM(BA41+BB41+BC41-BD41)</f>
        <v>32718.5</v>
      </c>
    </row>
    <row r="42" spans="2:57" x14ac:dyDescent="0.45">
      <c r="B42" s="63">
        <v>16</v>
      </c>
      <c r="C42" s="74">
        <f t="shared" ca="1" si="9"/>
        <v>44518</v>
      </c>
      <c r="D42" s="56"/>
      <c r="E42" s="45"/>
      <c r="F42" s="45"/>
      <c r="G42" s="56"/>
      <c r="H42" s="73">
        <f t="shared" si="22"/>
        <v>0</v>
      </c>
      <c r="I42" s="289">
        <f t="shared" si="2"/>
        <v>0</v>
      </c>
      <c r="J42" s="289">
        <f t="shared" si="10"/>
        <v>7.6409370845240462E-3</v>
      </c>
      <c r="K42" s="63">
        <v>16</v>
      </c>
      <c r="L42" s="74">
        <f t="shared" ca="1" si="11"/>
        <v>44518</v>
      </c>
      <c r="M42" s="56"/>
      <c r="N42" s="56"/>
      <c r="O42" s="56"/>
      <c r="P42" s="56"/>
      <c r="Q42" s="73">
        <f t="shared" si="3"/>
        <v>0</v>
      </c>
      <c r="S42" s="63">
        <v>16</v>
      </c>
      <c r="T42" s="74">
        <f t="shared" ca="1" si="12"/>
        <v>44518</v>
      </c>
      <c r="U42" s="56"/>
      <c r="V42" s="56"/>
      <c r="W42" s="73">
        <f t="shared" si="18"/>
        <v>151158</v>
      </c>
      <c r="X42" s="56"/>
      <c r="Y42" s="73">
        <f t="shared" si="4"/>
        <v>151158</v>
      </c>
      <c r="AA42" s="440">
        <v>16</v>
      </c>
      <c r="AB42" s="74">
        <f t="shared" si="13"/>
        <v>457</v>
      </c>
      <c r="AC42" s="56"/>
      <c r="AD42" s="56"/>
      <c r="AE42" s="73">
        <f t="shared" si="20"/>
        <v>127238.61111111111</v>
      </c>
      <c r="AF42" s="56"/>
      <c r="AG42" s="73">
        <f t="shared" si="5"/>
        <v>127238.61111111111</v>
      </c>
      <c r="AI42" s="63">
        <v>16</v>
      </c>
      <c r="AJ42" s="74">
        <f t="shared" ca="1" si="14"/>
        <v>44518</v>
      </c>
      <c r="AK42" s="56"/>
      <c r="AL42" s="56"/>
      <c r="AM42" s="73"/>
      <c r="AN42" s="56"/>
      <c r="AO42" s="73">
        <f t="shared" si="6"/>
        <v>0</v>
      </c>
      <c r="AQ42" s="454">
        <v>16</v>
      </c>
      <c r="AR42" s="74">
        <f t="shared" si="16"/>
        <v>457</v>
      </c>
      <c r="AS42" s="56"/>
      <c r="AT42" s="56"/>
      <c r="AU42" s="73">
        <f t="shared" si="21"/>
        <v>109061.66666666667</v>
      </c>
      <c r="AV42" s="56"/>
      <c r="AW42" s="73">
        <f t="shared" si="23"/>
        <v>109061.66666666667</v>
      </c>
      <c r="AY42" s="454">
        <v>16</v>
      </c>
      <c r="AZ42" s="74">
        <f t="shared" si="17"/>
        <v>457</v>
      </c>
      <c r="BA42" s="56"/>
      <c r="BB42" s="56"/>
      <c r="BC42" s="73">
        <f t="shared" si="19"/>
        <v>32718.5</v>
      </c>
      <c r="BD42" s="56"/>
      <c r="BE42" s="73">
        <f t="shared" si="24"/>
        <v>32718.5</v>
      </c>
    </row>
    <row r="43" spans="2:57" x14ac:dyDescent="0.45">
      <c r="B43" s="63">
        <v>17</v>
      </c>
      <c r="C43" s="74">
        <f t="shared" ca="1" si="9"/>
        <v>44548</v>
      </c>
      <c r="D43" s="56"/>
      <c r="E43" s="45"/>
      <c r="F43" s="45"/>
      <c r="G43" s="56"/>
      <c r="H43" s="73">
        <f t="shared" si="22"/>
        <v>0</v>
      </c>
      <c r="I43" s="289">
        <f t="shared" si="2"/>
        <v>0</v>
      </c>
      <c r="J43" s="289">
        <f t="shared" si="10"/>
        <v>7.6409370845240462E-3</v>
      </c>
      <c r="K43" s="63">
        <v>17</v>
      </c>
      <c r="L43" s="74">
        <f t="shared" ca="1" si="11"/>
        <v>44548</v>
      </c>
      <c r="M43" s="56"/>
      <c r="N43" s="56"/>
      <c r="O43" s="56"/>
      <c r="P43" s="56"/>
      <c r="Q43" s="73">
        <f t="shared" si="3"/>
        <v>0</v>
      </c>
      <c r="S43" s="63">
        <v>17</v>
      </c>
      <c r="T43" s="74">
        <f t="shared" ca="1" si="12"/>
        <v>44548</v>
      </c>
      <c r="U43" s="56"/>
      <c r="V43" s="56"/>
      <c r="W43" s="73">
        <f t="shared" si="18"/>
        <v>151158</v>
      </c>
      <c r="X43" s="56"/>
      <c r="Y43" s="73">
        <f t="shared" si="4"/>
        <v>151158</v>
      </c>
      <c r="AA43" s="440">
        <v>17</v>
      </c>
      <c r="AB43" s="74">
        <f t="shared" si="13"/>
        <v>487</v>
      </c>
      <c r="AC43" s="56"/>
      <c r="AD43" s="56"/>
      <c r="AE43" s="73">
        <f t="shared" si="20"/>
        <v>127238.61111111111</v>
      </c>
      <c r="AF43" s="56"/>
      <c r="AG43" s="73">
        <f t="shared" si="5"/>
        <v>127238.61111111111</v>
      </c>
      <c r="AI43" s="63">
        <v>17</v>
      </c>
      <c r="AJ43" s="74">
        <f t="shared" ca="1" si="14"/>
        <v>44548</v>
      </c>
      <c r="AK43" s="56"/>
      <c r="AL43" s="56"/>
      <c r="AM43" s="73"/>
      <c r="AN43" s="56"/>
      <c r="AO43" s="73">
        <f t="shared" si="6"/>
        <v>0</v>
      </c>
      <c r="AQ43" s="454">
        <v>17</v>
      </c>
      <c r="AR43" s="74">
        <f t="shared" si="16"/>
        <v>487</v>
      </c>
      <c r="AS43" s="56"/>
      <c r="AT43" s="56"/>
      <c r="AU43" s="73">
        <f t="shared" si="21"/>
        <v>109061.66666666667</v>
      </c>
      <c r="AV43" s="56"/>
      <c r="AW43" s="73">
        <f t="shared" si="23"/>
        <v>109061.66666666667</v>
      </c>
      <c r="AY43" s="454">
        <v>17</v>
      </c>
      <c r="AZ43" s="74">
        <f t="shared" si="17"/>
        <v>487</v>
      </c>
      <c r="BA43" s="56"/>
      <c r="BB43" s="56"/>
      <c r="BC43" s="73">
        <f t="shared" si="19"/>
        <v>32718.5</v>
      </c>
      <c r="BD43" s="56"/>
      <c r="BE43" s="73">
        <f t="shared" si="24"/>
        <v>32718.5</v>
      </c>
    </row>
    <row r="44" spans="2:57" x14ac:dyDescent="0.45">
      <c r="B44" s="63">
        <v>18</v>
      </c>
      <c r="C44" s="74">
        <f t="shared" ca="1" si="9"/>
        <v>44579</v>
      </c>
      <c r="D44" s="56"/>
      <c r="E44" s="45"/>
      <c r="F44" s="45"/>
      <c r="G44" s="56"/>
      <c r="H44" s="73">
        <f t="shared" si="22"/>
        <v>0</v>
      </c>
      <c r="I44" s="289">
        <f t="shared" si="2"/>
        <v>0</v>
      </c>
      <c r="J44" s="289">
        <f t="shared" si="10"/>
        <v>7.6409370845240462E-3</v>
      </c>
      <c r="K44" s="63">
        <v>18</v>
      </c>
      <c r="L44" s="74">
        <f t="shared" ca="1" si="11"/>
        <v>44579</v>
      </c>
      <c r="M44" s="56"/>
      <c r="N44" s="56"/>
      <c r="O44" s="56"/>
      <c r="P44" s="56"/>
      <c r="Q44" s="73">
        <f t="shared" si="3"/>
        <v>0</v>
      </c>
      <c r="S44" s="63">
        <v>18</v>
      </c>
      <c r="T44" s="74">
        <f t="shared" ca="1" si="12"/>
        <v>44579</v>
      </c>
      <c r="U44" s="56"/>
      <c r="V44" s="56"/>
      <c r="W44" s="73">
        <f t="shared" si="18"/>
        <v>151158</v>
      </c>
      <c r="X44" s="56"/>
      <c r="Y44" s="73">
        <f t="shared" si="4"/>
        <v>151158</v>
      </c>
      <c r="AA44" s="440">
        <v>18</v>
      </c>
      <c r="AB44" s="74">
        <f t="shared" si="13"/>
        <v>518</v>
      </c>
      <c r="AC44" s="56"/>
      <c r="AD44" s="56"/>
      <c r="AE44" s="73">
        <f t="shared" si="20"/>
        <v>127238.61111111111</v>
      </c>
      <c r="AF44" s="56"/>
      <c r="AG44" s="73">
        <f t="shared" si="5"/>
        <v>127238.61111111111</v>
      </c>
      <c r="AI44" s="63">
        <v>18</v>
      </c>
      <c r="AJ44" s="74">
        <f t="shared" ca="1" si="14"/>
        <v>44579</v>
      </c>
      <c r="AK44" s="56"/>
      <c r="AL44" s="56"/>
      <c r="AM44" s="73"/>
      <c r="AN44" s="56"/>
      <c r="AO44" s="73">
        <f t="shared" si="6"/>
        <v>0</v>
      </c>
      <c r="AQ44" s="454">
        <v>18</v>
      </c>
      <c r="AR44" s="74">
        <f t="shared" si="16"/>
        <v>518</v>
      </c>
      <c r="AS44" s="56"/>
      <c r="AT44" s="56"/>
      <c r="AU44" s="73">
        <f t="shared" si="21"/>
        <v>109061.66666666667</v>
      </c>
      <c r="AV44" s="56"/>
      <c r="AW44" s="73">
        <f t="shared" si="23"/>
        <v>109061.66666666667</v>
      </c>
      <c r="AY44" s="454">
        <v>18</v>
      </c>
      <c r="AZ44" s="74">
        <f t="shared" si="17"/>
        <v>518</v>
      </c>
      <c r="BA44" s="56"/>
      <c r="BB44" s="56"/>
      <c r="BC44" s="73">
        <f t="shared" si="19"/>
        <v>32718.5</v>
      </c>
      <c r="BD44" s="56"/>
      <c r="BE44" s="73">
        <f t="shared" si="24"/>
        <v>32718.5</v>
      </c>
    </row>
    <row r="45" spans="2:57" x14ac:dyDescent="0.45">
      <c r="B45" s="63">
        <v>19</v>
      </c>
      <c r="C45" s="74">
        <f t="shared" ca="1" si="9"/>
        <v>44610</v>
      </c>
      <c r="D45" s="56"/>
      <c r="E45" s="45"/>
      <c r="F45" s="45"/>
      <c r="G45" s="56"/>
      <c r="H45" s="73">
        <f t="shared" si="22"/>
        <v>0</v>
      </c>
      <c r="I45" s="289">
        <f t="shared" si="2"/>
        <v>0</v>
      </c>
      <c r="J45" s="289">
        <f t="shared" si="10"/>
        <v>7.6409370845240462E-3</v>
      </c>
      <c r="K45" s="63">
        <v>19</v>
      </c>
      <c r="L45" s="74">
        <f t="shared" ca="1" si="11"/>
        <v>44610</v>
      </c>
      <c r="M45" s="56"/>
      <c r="N45" s="56"/>
      <c r="O45" s="56"/>
      <c r="P45" s="56"/>
      <c r="Q45" s="73">
        <f t="shared" si="3"/>
        <v>0</v>
      </c>
      <c r="S45" s="63">
        <v>19</v>
      </c>
      <c r="T45" s="74">
        <f t="shared" ca="1" si="12"/>
        <v>44610</v>
      </c>
      <c r="U45" s="56"/>
      <c r="V45" s="56"/>
      <c r="W45" s="73">
        <f t="shared" si="18"/>
        <v>151158</v>
      </c>
      <c r="X45" s="56"/>
      <c r="Y45" s="73">
        <f t="shared" si="4"/>
        <v>151158</v>
      </c>
      <c r="AA45" s="440">
        <v>19</v>
      </c>
      <c r="AB45" s="74">
        <f t="shared" si="13"/>
        <v>548</v>
      </c>
      <c r="AC45" s="56"/>
      <c r="AD45" s="56"/>
      <c r="AE45" s="73">
        <f t="shared" si="20"/>
        <v>127238.61111111111</v>
      </c>
      <c r="AF45" s="56"/>
      <c r="AG45" s="73">
        <f t="shared" si="5"/>
        <v>127238.61111111111</v>
      </c>
      <c r="AI45" s="63">
        <v>19</v>
      </c>
      <c r="AJ45" s="74">
        <f t="shared" ca="1" si="14"/>
        <v>44610</v>
      </c>
      <c r="AK45" s="56"/>
      <c r="AL45" s="56"/>
      <c r="AM45" s="73"/>
      <c r="AN45" s="56"/>
      <c r="AO45" s="73">
        <f t="shared" si="6"/>
        <v>0</v>
      </c>
      <c r="AQ45" s="454">
        <v>19</v>
      </c>
      <c r="AR45" s="74">
        <f t="shared" si="16"/>
        <v>548</v>
      </c>
      <c r="AS45" s="56"/>
      <c r="AT45" s="56"/>
      <c r="AU45" s="73">
        <f t="shared" si="21"/>
        <v>109061.66666666667</v>
      </c>
      <c r="AV45" s="56"/>
      <c r="AW45" s="73">
        <f t="shared" si="23"/>
        <v>109061.66666666667</v>
      </c>
      <c r="AY45" s="454">
        <v>19</v>
      </c>
      <c r="AZ45" s="74">
        <f t="shared" si="17"/>
        <v>548</v>
      </c>
      <c r="BA45" s="56"/>
      <c r="BB45" s="45">
        <f>BB39</f>
        <v>130874</v>
      </c>
      <c r="BC45" s="73"/>
      <c r="BD45" s="56"/>
      <c r="BE45" s="73">
        <f t="shared" si="24"/>
        <v>130874</v>
      </c>
    </row>
    <row r="46" spans="2:57" x14ac:dyDescent="0.45">
      <c r="B46" s="63">
        <v>20</v>
      </c>
      <c r="C46" s="74">
        <f t="shared" ca="1" si="9"/>
        <v>44638</v>
      </c>
      <c r="D46" s="45"/>
      <c r="E46" s="45"/>
      <c r="F46" s="45"/>
      <c r="G46" s="56"/>
      <c r="H46" s="73">
        <f t="shared" si="22"/>
        <v>0</v>
      </c>
      <c r="I46" s="289">
        <f t="shared" si="2"/>
        <v>0</v>
      </c>
      <c r="J46" s="289">
        <f t="shared" si="10"/>
        <v>7.6409370845240462E-3</v>
      </c>
      <c r="K46" s="63">
        <v>20</v>
      </c>
      <c r="L46" s="74">
        <f t="shared" ca="1" si="11"/>
        <v>44638</v>
      </c>
      <c r="M46" s="56"/>
      <c r="N46" s="56"/>
      <c r="O46" s="56"/>
      <c r="P46" s="56"/>
      <c r="Q46" s="73">
        <f t="shared" si="3"/>
        <v>0</v>
      </c>
      <c r="S46" s="63">
        <v>20</v>
      </c>
      <c r="T46" s="74">
        <f t="shared" ca="1" si="12"/>
        <v>44638</v>
      </c>
      <c r="U46" s="56"/>
      <c r="V46" s="56"/>
      <c r="W46" s="73">
        <f t="shared" si="18"/>
        <v>151158</v>
      </c>
      <c r="X46" s="56"/>
      <c r="Y46" s="73">
        <f t="shared" si="4"/>
        <v>151158</v>
      </c>
      <c r="AA46" s="440">
        <v>20</v>
      </c>
      <c r="AB46" s="74">
        <f t="shared" si="13"/>
        <v>579</v>
      </c>
      <c r="AC46" s="56"/>
      <c r="AD46" s="56"/>
      <c r="AE46" s="73">
        <f t="shared" si="20"/>
        <v>127238.61111111111</v>
      </c>
      <c r="AF46" s="56"/>
      <c r="AG46" s="73">
        <f t="shared" si="5"/>
        <v>127238.61111111111</v>
      </c>
      <c r="AI46" s="63">
        <v>20</v>
      </c>
      <c r="AJ46" s="74">
        <f t="shared" ca="1" si="14"/>
        <v>44638</v>
      </c>
      <c r="AK46" s="56"/>
      <c r="AL46" s="56"/>
      <c r="AM46" s="73"/>
      <c r="AN46" s="56"/>
      <c r="AO46" s="73">
        <f>SUM(AK46+AL46+AM46-AN46)</f>
        <v>0</v>
      </c>
      <c r="AQ46" s="454">
        <v>20</v>
      </c>
      <c r="AR46" s="74">
        <f t="shared" si="16"/>
        <v>579</v>
      </c>
      <c r="AS46" s="56"/>
      <c r="AT46" s="56"/>
      <c r="AU46" s="73">
        <f t="shared" si="21"/>
        <v>109061.66666666667</v>
      </c>
      <c r="AV46" s="56"/>
      <c r="AW46" s="73">
        <f>SUM(AS46+AT46+AU46-AV46)</f>
        <v>109061.66666666667</v>
      </c>
      <c r="AY46" s="454">
        <v>20</v>
      </c>
      <c r="AZ46" s="74">
        <f t="shared" si="17"/>
        <v>579</v>
      </c>
      <c r="BA46" s="56"/>
      <c r="BB46" s="56"/>
      <c r="BC46" s="73">
        <f>BC44</f>
        <v>32718.5</v>
      </c>
      <c r="BD46" s="56"/>
      <c r="BE46" s="73">
        <f>SUM(BA46+BB46+BC46-BD46)</f>
        <v>32718.5</v>
      </c>
    </row>
    <row r="47" spans="2:57" x14ac:dyDescent="0.45">
      <c r="B47" s="63">
        <v>21</v>
      </c>
      <c r="C47" s="74">
        <f t="shared" ca="1" si="9"/>
        <v>44669</v>
      </c>
      <c r="D47" s="56"/>
      <c r="E47" s="45"/>
      <c r="F47" s="45"/>
      <c r="G47" s="56"/>
      <c r="H47" s="73">
        <f t="shared" si="22"/>
        <v>0</v>
      </c>
      <c r="I47" s="289">
        <f t="shared" si="2"/>
        <v>0</v>
      </c>
      <c r="J47" s="289">
        <f t="shared" si="10"/>
        <v>7.6409370845240462E-3</v>
      </c>
      <c r="K47" s="63">
        <v>21</v>
      </c>
      <c r="L47" s="74">
        <f t="shared" ca="1" si="11"/>
        <v>44669</v>
      </c>
      <c r="M47" s="56"/>
      <c r="N47" s="56"/>
      <c r="O47" s="56"/>
      <c r="P47" s="56"/>
      <c r="Q47" s="73">
        <f t="shared" si="3"/>
        <v>0</v>
      </c>
      <c r="S47" s="63">
        <v>21</v>
      </c>
      <c r="T47" s="74">
        <f t="shared" ca="1" si="12"/>
        <v>44669</v>
      </c>
      <c r="U47" s="56"/>
      <c r="V47" s="56"/>
      <c r="W47" s="73">
        <f t="shared" si="18"/>
        <v>151158</v>
      </c>
      <c r="X47" s="56"/>
      <c r="Y47" s="73">
        <f t="shared" si="4"/>
        <v>151158</v>
      </c>
      <c r="AA47" s="440">
        <v>21</v>
      </c>
      <c r="AB47" s="74">
        <f t="shared" si="13"/>
        <v>610</v>
      </c>
      <c r="AC47" s="56"/>
      <c r="AD47" s="56"/>
      <c r="AE47" s="73">
        <f t="shared" si="20"/>
        <v>127238.61111111111</v>
      </c>
      <c r="AF47" s="56"/>
      <c r="AG47" s="73">
        <f t="shared" si="5"/>
        <v>127238.61111111111</v>
      </c>
      <c r="AI47" s="63">
        <v>21</v>
      </c>
      <c r="AJ47" s="74">
        <f t="shared" ca="1" si="14"/>
        <v>44669</v>
      </c>
      <c r="AK47" s="56"/>
      <c r="AL47" s="73"/>
      <c r="AM47" s="56"/>
      <c r="AN47" s="45">
        <f>AK16*AK22</f>
        <v>0</v>
      </c>
      <c r="AO47" s="73">
        <f>AK47+AL47+AM47+AN47</f>
        <v>0</v>
      </c>
      <c r="AQ47" s="454">
        <v>21</v>
      </c>
      <c r="AR47" s="74">
        <f t="shared" si="16"/>
        <v>610</v>
      </c>
      <c r="AS47" s="56"/>
      <c r="AT47" s="73"/>
      <c r="AU47" s="73">
        <f t="shared" si="21"/>
        <v>109061.66666666667</v>
      </c>
      <c r="AV47" s="45"/>
      <c r="AW47" s="73">
        <f>AS47+AT47+AU47+AV47</f>
        <v>109061.66666666667</v>
      </c>
      <c r="AY47" s="454">
        <v>21</v>
      </c>
      <c r="AZ47" s="74">
        <f t="shared" si="17"/>
        <v>610</v>
      </c>
      <c r="BA47" s="56"/>
      <c r="BB47" s="73"/>
      <c r="BC47" s="73">
        <f t="shared" si="19"/>
        <v>32718.5</v>
      </c>
      <c r="BD47" s="45"/>
      <c r="BE47" s="73">
        <f>BA47+BB47+BC47+BD47</f>
        <v>32718.5</v>
      </c>
    </row>
    <row r="48" spans="2:57" x14ac:dyDescent="0.45">
      <c r="B48" s="63">
        <v>22</v>
      </c>
      <c r="C48" s="74">
        <f t="shared" ca="1" si="9"/>
        <v>44699</v>
      </c>
      <c r="D48" s="56"/>
      <c r="E48" s="45"/>
      <c r="F48" s="45"/>
      <c r="G48" s="56"/>
      <c r="H48" s="73">
        <f t="shared" si="22"/>
        <v>0</v>
      </c>
      <c r="I48" s="289">
        <f t="shared" si="2"/>
        <v>0</v>
      </c>
      <c r="J48" s="289">
        <f t="shared" si="10"/>
        <v>7.6409370845240462E-3</v>
      </c>
      <c r="K48" s="63">
        <v>22</v>
      </c>
      <c r="L48" s="74">
        <f t="shared" ca="1" si="11"/>
        <v>44699</v>
      </c>
      <c r="M48" s="56"/>
      <c r="N48" s="56"/>
      <c r="O48" s="56"/>
      <c r="P48" s="56"/>
      <c r="Q48" s="73">
        <f t="shared" si="3"/>
        <v>0</v>
      </c>
      <c r="S48" s="63">
        <v>22</v>
      </c>
      <c r="T48" s="74">
        <f t="shared" ca="1" si="12"/>
        <v>44699</v>
      </c>
      <c r="U48" s="56"/>
      <c r="V48" s="56"/>
      <c r="W48" s="73">
        <f t="shared" si="18"/>
        <v>151158</v>
      </c>
      <c r="X48" s="56"/>
      <c r="Y48" s="73">
        <f t="shared" si="4"/>
        <v>151158</v>
      </c>
      <c r="AA48" s="440">
        <v>22</v>
      </c>
      <c r="AB48" s="74">
        <f t="shared" si="13"/>
        <v>640</v>
      </c>
      <c r="AC48" s="56"/>
      <c r="AD48" s="56"/>
      <c r="AE48" s="73">
        <f t="shared" si="20"/>
        <v>127238.61111111111</v>
      </c>
      <c r="AF48" s="56"/>
      <c r="AG48" s="73">
        <f t="shared" si="5"/>
        <v>127238.61111111111</v>
      </c>
      <c r="AI48" s="63">
        <v>22</v>
      </c>
      <c r="AJ48" s="74">
        <f t="shared" ca="1" si="14"/>
        <v>44699</v>
      </c>
      <c r="AK48" s="56"/>
      <c r="AL48" s="56"/>
      <c r="AM48" s="56"/>
      <c r="AN48" s="56"/>
      <c r="AO48" s="73">
        <f t="shared" si="6"/>
        <v>0</v>
      </c>
      <c r="AQ48" s="454">
        <v>22</v>
      </c>
      <c r="AR48" s="74">
        <f t="shared" si="16"/>
        <v>640</v>
      </c>
      <c r="AS48" s="56"/>
      <c r="AT48" s="56"/>
      <c r="AU48" s="73">
        <f t="shared" si="21"/>
        <v>109061.66666666667</v>
      </c>
      <c r="AV48" s="56"/>
      <c r="AW48" s="73">
        <f t="shared" ref="AW48:AW64" si="25">SUM(AS48+AT48+AU48-AV48)</f>
        <v>109061.66666666667</v>
      </c>
      <c r="AY48" s="454">
        <v>22</v>
      </c>
      <c r="AZ48" s="74">
        <f t="shared" si="17"/>
        <v>640</v>
      </c>
      <c r="BA48" s="56"/>
      <c r="BB48" s="56"/>
      <c r="BC48" s="73">
        <f t="shared" si="19"/>
        <v>32718.5</v>
      </c>
      <c r="BD48" s="56"/>
      <c r="BE48" s="73">
        <f t="shared" ref="BE48:BE64" si="26">SUM(BA48+BB48+BC48-BD48)</f>
        <v>32718.5</v>
      </c>
    </row>
    <row r="49" spans="2:57" x14ac:dyDescent="0.45">
      <c r="B49" s="63">
        <v>23</v>
      </c>
      <c r="C49" s="74">
        <f t="shared" ca="1" si="9"/>
        <v>44730</v>
      </c>
      <c r="D49" s="56"/>
      <c r="E49" s="45"/>
      <c r="F49" s="45"/>
      <c r="G49" s="56"/>
      <c r="H49" s="73">
        <f t="shared" si="22"/>
        <v>0</v>
      </c>
      <c r="I49" s="289">
        <f t="shared" si="2"/>
        <v>0</v>
      </c>
      <c r="J49" s="289">
        <f t="shared" si="10"/>
        <v>7.6409370845240462E-3</v>
      </c>
      <c r="K49" s="63">
        <v>23</v>
      </c>
      <c r="L49" s="74">
        <f t="shared" ca="1" si="11"/>
        <v>44730</v>
      </c>
      <c r="M49" s="56"/>
      <c r="N49" s="56"/>
      <c r="O49" s="56"/>
      <c r="P49" s="56"/>
      <c r="Q49" s="73">
        <f t="shared" si="3"/>
        <v>0</v>
      </c>
      <c r="S49" s="63">
        <v>23</v>
      </c>
      <c r="T49" s="74">
        <f t="shared" ca="1" si="12"/>
        <v>44730</v>
      </c>
      <c r="U49" s="56"/>
      <c r="V49" s="56"/>
      <c r="W49" s="73">
        <f t="shared" si="18"/>
        <v>151158</v>
      </c>
      <c r="X49" s="56"/>
      <c r="Y49" s="73">
        <f t="shared" si="4"/>
        <v>151158</v>
      </c>
      <c r="AA49" s="440">
        <v>23</v>
      </c>
      <c r="AB49" s="74">
        <f t="shared" si="13"/>
        <v>671</v>
      </c>
      <c r="AC49" s="56"/>
      <c r="AD49" s="56"/>
      <c r="AE49" s="73">
        <f t="shared" si="20"/>
        <v>127238.61111111111</v>
      </c>
      <c r="AF49" s="56"/>
      <c r="AG49" s="73">
        <f t="shared" si="5"/>
        <v>127238.61111111111</v>
      </c>
      <c r="AI49" s="63">
        <v>23</v>
      </c>
      <c r="AJ49" s="74">
        <f t="shared" ca="1" si="14"/>
        <v>44730</v>
      </c>
      <c r="AK49" s="56"/>
      <c r="AL49" s="56"/>
      <c r="AM49" s="56"/>
      <c r="AN49" s="56"/>
      <c r="AO49" s="73">
        <f t="shared" si="6"/>
        <v>0</v>
      </c>
      <c r="AQ49" s="454">
        <v>23</v>
      </c>
      <c r="AR49" s="74">
        <f t="shared" si="16"/>
        <v>671</v>
      </c>
      <c r="AS49" s="56"/>
      <c r="AT49" s="56"/>
      <c r="AU49" s="73">
        <f t="shared" si="21"/>
        <v>109061.66666666667</v>
      </c>
      <c r="AV49" s="56"/>
      <c r="AW49" s="73">
        <f t="shared" si="25"/>
        <v>109061.66666666667</v>
      </c>
      <c r="AY49" s="454">
        <v>23</v>
      </c>
      <c r="AZ49" s="74">
        <f t="shared" si="17"/>
        <v>671</v>
      </c>
      <c r="BA49" s="56"/>
      <c r="BB49" s="56"/>
      <c r="BC49" s="73">
        <f t="shared" si="19"/>
        <v>32718.5</v>
      </c>
      <c r="BD49" s="56"/>
      <c r="BE49" s="73">
        <f t="shared" si="26"/>
        <v>32718.5</v>
      </c>
    </row>
    <row r="50" spans="2:57" x14ac:dyDescent="0.45">
      <c r="B50" s="63">
        <v>24</v>
      </c>
      <c r="C50" s="74">
        <f t="shared" ca="1" si="9"/>
        <v>44760</v>
      </c>
      <c r="D50" s="56"/>
      <c r="E50" s="45"/>
      <c r="F50" s="45"/>
      <c r="G50" s="56"/>
      <c r="H50" s="73">
        <f t="shared" si="22"/>
        <v>0</v>
      </c>
      <c r="I50" s="289">
        <f t="shared" si="2"/>
        <v>0</v>
      </c>
      <c r="J50" s="289">
        <f t="shared" si="10"/>
        <v>7.6409370845240462E-3</v>
      </c>
      <c r="K50" s="63">
        <v>24</v>
      </c>
      <c r="L50" s="74">
        <f t="shared" ca="1" si="11"/>
        <v>44760</v>
      </c>
      <c r="M50" s="56"/>
      <c r="N50" s="56"/>
      <c r="O50" s="56"/>
      <c r="P50" s="56"/>
      <c r="Q50" s="73">
        <f t="shared" si="3"/>
        <v>0</v>
      </c>
      <c r="S50" s="63">
        <v>24</v>
      </c>
      <c r="T50" s="74">
        <f t="shared" ca="1" si="12"/>
        <v>44760</v>
      </c>
      <c r="U50" s="56"/>
      <c r="V50" s="56"/>
      <c r="W50" s="73">
        <f t="shared" si="18"/>
        <v>151158</v>
      </c>
      <c r="X50" s="56"/>
      <c r="Y50" s="73">
        <f t="shared" si="4"/>
        <v>151158</v>
      </c>
      <c r="AA50" s="440">
        <v>24</v>
      </c>
      <c r="AB50" s="74">
        <f t="shared" si="13"/>
        <v>701</v>
      </c>
      <c r="AC50" s="56"/>
      <c r="AD50" s="56"/>
      <c r="AE50" s="73">
        <f t="shared" si="20"/>
        <v>127238.61111111111</v>
      </c>
      <c r="AF50" s="56"/>
      <c r="AG50" s="73">
        <f t="shared" si="5"/>
        <v>127238.61111111111</v>
      </c>
      <c r="AI50" s="63">
        <v>24</v>
      </c>
      <c r="AJ50" s="74">
        <f t="shared" ca="1" si="14"/>
        <v>44760</v>
      </c>
      <c r="AK50" s="56"/>
      <c r="AL50" s="56"/>
      <c r="AM50" s="56"/>
      <c r="AN50" s="56"/>
      <c r="AO50" s="73">
        <f t="shared" si="6"/>
        <v>0</v>
      </c>
      <c r="AQ50" s="454">
        <v>24</v>
      </c>
      <c r="AR50" s="74">
        <f t="shared" si="16"/>
        <v>701</v>
      </c>
      <c r="AS50" s="56"/>
      <c r="AT50" s="56"/>
      <c r="AU50" s="73">
        <f t="shared" si="21"/>
        <v>109061.66666666667</v>
      </c>
      <c r="AV50" s="56"/>
      <c r="AW50" s="73">
        <f t="shared" si="25"/>
        <v>109061.66666666667</v>
      </c>
      <c r="AY50" s="454">
        <v>24</v>
      </c>
      <c r="AZ50" s="74">
        <f t="shared" si="17"/>
        <v>701</v>
      </c>
      <c r="BA50" s="56"/>
      <c r="BB50" s="56"/>
      <c r="BC50" s="73">
        <f t="shared" si="19"/>
        <v>32718.5</v>
      </c>
      <c r="BD50" s="56"/>
      <c r="BE50" s="73">
        <f t="shared" si="26"/>
        <v>32718.5</v>
      </c>
    </row>
    <row r="51" spans="2:57" x14ac:dyDescent="0.45">
      <c r="B51" s="63">
        <v>25</v>
      </c>
      <c r="C51" s="74">
        <f t="shared" ca="1" si="9"/>
        <v>44791</v>
      </c>
      <c r="D51" s="56"/>
      <c r="E51" s="45"/>
      <c r="F51" s="45"/>
      <c r="G51" s="56"/>
      <c r="H51" s="73">
        <f t="shared" si="22"/>
        <v>0</v>
      </c>
      <c r="I51" s="289">
        <f t="shared" si="2"/>
        <v>0</v>
      </c>
      <c r="J51" s="289">
        <f t="shared" si="10"/>
        <v>7.6409370845240462E-3</v>
      </c>
      <c r="K51" s="63">
        <v>25</v>
      </c>
      <c r="L51" s="74">
        <f t="shared" ca="1" si="11"/>
        <v>44791</v>
      </c>
      <c r="M51" s="56"/>
      <c r="N51" s="56"/>
      <c r="O51" s="56"/>
      <c r="P51" s="56"/>
      <c r="Q51" s="73">
        <f t="shared" si="3"/>
        <v>0</v>
      </c>
      <c r="S51" s="63">
        <v>25</v>
      </c>
      <c r="T51" s="74">
        <f t="shared" ca="1" si="12"/>
        <v>44791</v>
      </c>
      <c r="U51" s="56"/>
      <c r="V51" s="56"/>
      <c r="W51" s="73">
        <f t="shared" si="18"/>
        <v>151158</v>
      </c>
      <c r="X51" s="56"/>
      <c r="Y51" s="73">
        <f t="shared" si="4"/>
        <v>151158</v>
      </c>
      <c r="AA51" s="440">
        <v>25</v>
      </c>
      <c r="AB51" s="74">
        <f t="shared" si="13"/>
        <v>732</v>
      </c>
      <c r="AC51" s="56"/>
      <c r="AD51" s="56"/>
      <c r="AE51" s="73">
        <f t="shared" si="20"/>
        <v>127238.61111111111</v>
      </c>
      <c r="AF51" s="56"/>
      <c r="AG51" s="73">
        <f t="shared" si="5"/>
        <v>127238.61111111111</v>
      </c>
      <c r="AI51" s="63">
        <v>25</v>
      </c>
      <c r="AJ51" s="74">
        <f t="shared" ca="1" si="14"/>
        <v>44791</v>
      </c>
      <c r="AK51" s="56"/>
      <c r="AL51" s="56"/>
      <c r="AM51" s="56"/>
      <c r="AN51" s="56"/>
      <c r="AO51" s="73">
        <f t="shared" si="6"/>
        <v>0</v>
      </c>
      <c r="AQ51" s="454">
        <v>25</v>
      </c>
      <c r="AR51" s="74">
        <f t="shared" si="16"/>
        <v>732</v>
      </c>
      <c r="AS51" s="56"/>
      <c r="AT51" s="56"/>
      <c r="AU51" s="73">
        <f t="shared" si="21"/>
        <v>109061.66666666667</v>
      </c>
      <c r="AV51" s="56"/>
      <c r="AW51" s="73">
        <f t="shared" si="25"/>
        <v>109061.66666666667</v>
      </c>
      <c r="AY51" s="454">
        <v>25</v>
      </c>
      <c r="AZ51" s="74">
        <f t="shared" si="17"/>
        <v>732</v>
      </c>
      <c r="BA51" s="56"/>
      <c r="BB51" s="56"/>
      <c r="BC51" s="73"/>
      <c r="BD51" s="45">
        <f>BA16-SUM(BA27:BC50)</f>
        <v>5446708</v>
      </c>
      <c r="BE51" s="73">
        <f>SUM(BA51+BB51+BC51+BD51)</f>
        <v>5446708</v>
      </c>
    </row>
    <row r="52" spans="2:57" x14ac:dyDescent="0.45">
      <c r="B52" s="63">
        <v>26</v>
      </c>
      <c r="C52" s="74">
        <f t="shared" ca="1" si="9"/>
        <v>44822</v>
      </c>
      <c r="D52" s="45"/>
      <c r="E52" s="45"/>
      <c r="F52" s="45"/>
      <c r="G52" s="56"/>
      <c r="H52" s="73">
        <f t="shared" si="22"/>
        <v>0</v>
      </c>
      <c r="I52" s="289">
        <f t="shared" si="2"/>
        <v>0</v>
      </c>
      <c r="J52" s="289">
        <f t="shared" si="10"/>
        <v>7.6409370845240462E-3</v>
      </c>
      <c r="K52" s="63">
        <v>26</v>
      </c>
      <c r="L52" s="74">
        <f t="shared" ca="1" si="11"/>
        <v>44822</v>
      </c>
      <c r="M52" s="56"/>
      <c r="N52" s="56"/>
      <c r="O52" s="56"/>
      <c r="P52" s="56"/>
      <c r="Q52" s="73">
        <f t="shared" si="3"/>
        <v>0</v>
      </c>
      <c r="S52" s="63">
        <v>26</v>
      </c>
      <c r="T52" s="74">
        <f t="shared" ca="1" si="12"/>
        <v>44822</v>
      </c>
      <c r="U52" s="56"/>
      <c r="V52" s="56"/>
      <c r="W52" s="73">
        <f t="shared" si="18"/>
        <v>151158</v>
      </c>
      <c r="X52" s="56"/>
      <c r="Y52" s="73">
        <f t="shared" si="4"/>
        <v>151158</v>
      </c>
      <c r="AA52" s="440">
        <v>26</v>
      </c>
      <c r="AB52" s="74">
        <f t="shared" si="13"/>
        <v>763</v>
      </c>
      <c r="AC52" s="56"/>
      <c r="AD52" s="56"/>
      <c r="AE52" s="73">
        <f t="shared" si="20"/>
        <v>127238.61111111111</v>
      </c>
      <c r="AF52" s="56"/>
      <c r="AG52" s="73">
        <f t="shared" si="5"/>
        <v>127238.61111111111</v>
      </c>
      <c r="AI52" s="63">
        <v>26</v>
      </c>
      <c r="AJ52" s="74">
        <f t="shared" ca="1" si="14"/>
        <v>44822</v>
      </c>
      <c r="AK52" s="56"/>
      <c r="AL52" s="56"/>
      <c r="AM52" s="56"/>
      <c r="AN52" s="56"/>
      <c r="AO52" s="73">
        <f t="shared" si="6"/>
        <v>0</v>
      </c>
      <c r="AQ52" s="454">
        <v>26</v>
      </c>
      <c r="AR52" s="74">
        <f t="shared" si="16"/>
        <v>763</v>
      </c>
      <c r="AS52" s="56"/>
      <c r="AT52" s="56"/>
      <c r="AU52" s="73">
        <f t="shared" si="21"/>
        <v>109061.66666666667</v>
      </c>
      <c r="AV52" s="56"/>
      <c r="AW52" s="73">
        <f t="shared" si="25"/>
        <v>109061.66666666667</v>
      </c>
      <c r="AY52" s="454">
        <v>26</v>
      </c>
      <c r="AZ52" s="74">
        <f t="shared" si="17"/>
        <v>763</v>
      </c>
      <c r="BA52" s="56"/>
      <c r="BB52" s="56"/>
      <c r="BC52" s="73"/>
      <c r="BD52" s="56"/>
      <c r="BE52" s="73">
        <f t="shared" si="26"/>
        <v>0</v>
      </c>
    </row>
    <row r="53" spans="2:57" x14ac:dyDescent="0.45">
      <c r="B53" s="63">
        <v>27</v>
      </c>
      <c r="C53" s="74">
        <f t="shared" ca="1" si="9"/>
        <v>44852</v>
      </c>
      <c r="D53" s="56"/>
      <c r="E53" s="45"/>
      <c r="F53" s="45"/>
      <c r="G53" s="56"/>
      <c r="H53" s="73">
        <f t="shared" si="22"/>
        <v>0</v>
      </c>
      <c r="I53" s="289">
        <f t="shared" si="2"/>
        <v>0</v>
      </c>
      <c r="J53" s="289">
        <f t="shared" si="10"/>
        <v>7.6409370845240462E-3</v>
      </c>
      <c r="K53" s="63">
        <v>27</v>
      </c>
      <c r="L53" s="74">
        <f t="shared" ca="1" si="11"/>
        <v>44852</v>
      </c>
      <c r="M53" s="56"/>
      <c r="N53" s="56"/>
      <c r="O53" s="56"/>
      <c r="P53" s="56"/>
      <c r="Q53" s="73">
        <f t="shared" si="3"/>
        <v>0</v>
      </c>
      <c r="S53" s="63">
        <v>27</v>
      </c>
      <c r="T53" s="74">
        <f t="shared" ca="1" si="12"/>
        <v>44852</v>
      </c>
      <c r="U53" s="56"/>
      <c r="V53" s="56"/>
      <c r="W53" s="73">
        <f t="shared" si="18"/>
        <v>151158</v>
      </c>
      <c r="X53" s="56"/>
      <c r="Y53" s="73">
        <f t="shared" si="4"/>
        <v>151158</v>
      </c>
      <c r="AA53" s="440">
        <v>27</v>
      </c>
      <c r="AB53" s="74">
        <f t="shared" si="13"/>
        <v>791</v>
      </c>
      <c r="AC53" s="56"/>
      <c r="AD53" s="56"/>
      <c r="AE53" s="73">
        <f t="shared" si="20"/>
        <v>127238.61111111111</v>
      </c>
      <c r="AF53" s="56"/>
      <c r="AG53" s="73">
        <f t="shared" si="5"/>
        <v>127238.61111111111</v>
      </c>
      <c r="AI53" s="63">
        <v>27</v>
      </c>
      <c r="AJ53" s="74">
        <f t="shared" ca="1" si="14"/>
        <v>44852</v>
      </c>
      <c r="AK53" s="56"/>
      <c r="AL53" s="56"/>
      <c r="AM53" s="56"/>
      <c r="AN53" s="56"/>
      <c r="AO53" s="73">
        <f t="shared" si="6"/>
        <v>0</v>
      </c>
      <c r="AQ53" s="454">
        <v>27</v>
      </c>
      <c r="AR53" s="74">
        <f t="shared" si="16"/>
        <v>791</v>
      </c>
      <c r="AS53" s="56"/>
      <c r="AT53" s="56"/>
      <c r="AU53" s="73"/>
      <c r="AV53" s="45">
        <f>AS16-SUM(AS27:AU52)</f>
        <v>3271850.0000000009</v>
      </c>
      <c r="AW53" s="73">
        <f>SUM(AS53+AT53+AU53+AV53)</f>
        <v>3271850.0000000009</v>
      </c>
      <c r="AY53" s="454">
        <v>27</v>
      </c>
      <c r="AZ53" s="74">
        <f t="shared" si="17"/>
        <v>791</v>
      </c>
      <c r="BA53" s="56"/>
      <c r="BB53" s="56"/>
      <c r="BC53" s="73"/>
      <c r="BD53" s="56"/>
      <c r="BE53" s="73">
        <f t="shared" si="26"/>
        <v>0</v>
      </c>
    </row>
    <row r="54" spans="2:57" x14ac:dyDescent="0.45">
      <c r="B54" s="63">
        <v>28</v>
      </c>
      <c r="C54" s="74">
        <f t="shared" ca="1" si="9"/>
        <v>44883</v>
      </c>
      <c r="D54" s="56"/>
      <c r="E54" s="45"/>
      <c r="F54" s="45"/>
      <c r="G54" s="56"/>
      <c r="H54" s="73">
        <f t="shared" si="22"/>
        <v>0</v>
      </c>
      <c r="I54" s="289">
        <f t="shared" si="2"/>
        <v>0</v>
      </c>
      <c r="J54" s="289">
        <f t="shared" si="10"/>
        <v>7.6409370845240462E-3</v>
      </c>
      <c r="K54" s="63">
        <v>28</v>
      </c>
      <c r="L54" s="74">
        <f t="shared" ca="1" si="11"/>
        <v>44883</v>
      </c>
      <c r="M54" s="56"/>
      <c r="N54" s="56"/>
      <c r="O54" s="56"/>
      <c r="P54" s="56"/>
      <c r="Q54" s="73">
        <f t="shared" si="3"/>
        <v>0</v>
      </c>
      <c r="S54" s="63">
        <v>28</v>
      </c>
      <c r="T54" s="74">
        <f t="shared" ca="1" si="12"/>
        <v>44883</v>
      </c>
      <c r="U54" s="56"/>
      <c r="V54" s="56"/>
      <c r="W54" s="73">
        <f t="shared" si="18"/>
        <v>151158</v>
      </c>
      <c r="X54" s="56"/>
      <c r="Y54" s="73">
        <f t="shared" si="4"/>
        <v>151158</v>
      </c>
      <c r="AA54" s="440">
        <v>28</v>
      </c>
      <c r="AB54" s="74">
        <f t="shared" si="13"/>
        <v>822</v>
      </c>
      <c r="AC54" s="56"/>
      <c r="AD54" s="56"/>
      <c r="AE54" s="73">
        <f t="shared" si="20"/>
        <v>127238.61111111111</v>
      </c>
      <c r="AF54" s="56"/>
      <c r="AG54" s="73">
        <f t="shared" si="5"/>
        <v>127238.61111111111</v>
      </c>
      <c r="AI54" s="63">
        <v>28</v>
      </c>
      <c r="AJ54" s="74">
        <f t="shared" ca="1" si="14"/>
        <v>44883</v>
      </c>
      <c r="AK54" s="56"/>
      <c r="AL54" s="56"/>
      <c r="AM54" s="56"/>
      <c r="AN54" s="56"/>
      <c r="AO54" s="73">
        <f t="shared" si="6"/>
        <v>0</v>
      </c>
      <c r="AQ54" s="454">
        <v>28</v>
      </c>
      <c r="AR54" s="74">
        <f t="shared" si="16"/>
        <v>822</v>
      </c>
      <c r="AS54" s="56"/>
      <c r="AT54" s="56"/>
      <c r="AU54" s="56"/>
      <c r="AV54" s="56"/>
      <c r="AW54" s="73">
        <f t="shared" si="25"/>
        <v>0</v>
      </c>
      <c r="AY54" s="454">
        <v>28</v>
      </c>
      <c r="AZ54" s="74">
        <f t="shared" si="17"/>
        <v>822</v>
      </c>
      <c r="BA54" s="56"/>
      <c r="BB54" s="56"/>
      <c r="BC54" s="73"/>
      <c r="BD54" s="56"/>
      <c r="BE54" s="73">
        <f t="shared" si="26"/>
        <v>0</v>
      </c>
    </row>
    <row r="55" spans="2:57" x14ac:dyDescent="0.45">
      <c r="B55" s="63">
        <v>29</v>
      </c>
      <c r="C55" s="74">
        <f t="shared" ca="1" si="9"/>
        <v>44913</v>
      </c>
      <c r="D55" s="56"/>
      <c r="E55" s="45"/>
      <c r="F55" s="45"/>
      <c r="G55" s="56"/>
      <c r="H55" s="73">
        <f t="shared" si="22"/>
        <v>0</v>
      </c>
      <c r="I55" s="289">
        <f t="shared" si="2"/>
        <v>0</v>
      </c>
      <c r="J55" s="289">
        <f t="shared" si="10"/>
        <v>7.6409370845240462E-3</v>
      </c>
      <c r="K55" s="63">
        <v>29</v>
      </c>
      <c r="L55" s="74">
        <f t="shared" ca="1" si="11"/>
        <v>44913</v>
      </c>
      <c r="M55" s="56"/>
      <c r="N55" s="56"/>
      <c r="O55" s="56"/>
      <c r="P55" s="56"/>
      <c r="Q55" s="73">
        <f t="shared" si="3"/>
        <v>0</v>
      </c>
      <c r="S55" s="63">
        <v>29</v>
      </c>
      <c r="T55" s="74">
        <f t="shared" ca="1" si="12"/>
        <v>44913</v>
      </c>
      <c r="U55" s="56"/>
      <c r="V55" s="56"/>
      <c r="W55" s="73">
        <f t="shared" si="18"/>
        <v>151158</v>
      </c>
      <c r="X55" s="56"/>
      <c r="Y55" s="73">
        <f t="shared" si="4"/>
        <v>151158</v>
      </c>
      <c r="AA55" s="440">
        <v>29</v>
      </c>
      <c r="AB55" s="74">
        <f t="shared" si="13"/>
        <v>852</v>
      </c>
      <c r="AC55" s="56"/>
      <c r="AD55" s="56"/>
      <c r="AE55" s="73">
        <f t="shared" si="20"/>
        <v>127238.61111111111</v>
      </c>
      <c r="AF55" s="56"/>
      <c r="AG55" s="73">
        <f t="shared" si="5"/>
        <v>127238.61111111111</v>
      </c>
      <c r="AI55" s="63">
        <v>29</v>
      </c>
      <c r="AJ55" s="74">
        <f t="shared" ca="1" si="14"/>
        <v>44913</v>
      </c>
      <c r="AK55" s="56"/>
      <c r="AL55" s="56"/>
      <c r="AM55" s="56"/>
      <c r="AN55" s="56"/>
      <c r="AO55" s="73">
        <f t="shared" si="6"/>
        <v>0</v>
      </c>
      <c r="AQ55" s="454">
        <v>29</v>
      </c>
      <c r="AR55" s="74">
        <f t="shared" si="16"/>
        <v>852</v>
      </c>
      <c r="AS55" s="56"/>
      <c r="AT55" s="56"/>
      <c r="AU55" s="56"/>
      <c r="AV55" s="56"/>
      <c r="AW55" s="73">
        <f t="shared" si="25"/>
        <v>0</v>
      </c>
      <c r="AY55" s="454">
        <v>29</v>
      </c>
      <c r="AZ55" s="74">
        <f t="shared" si="17"/>
        <v>852</v>
      </c>
      <c r="BA55" s="56"/>
      <c r="BB55" s="56"/>
      <c r="BC55" s="73"/>
      <c r="BD55" s="56"/>
      <c r="BE55" s="73">
        <f t="shared" si="26"/>
        <v>0</v>
      </c>
    </row>
    <row r="56" spans="2:57" x14ac:dyDescent="0.45">
      <c r="B56" s="63">
        <v>30</v>
      </c>
      <c r="C56" s="74">
        <f t="shared" ca="1" si="9"/>
        <v>44944</v>
      </c>
      <c r="D56" s="56"/>
      <c r="E56" s="45"/>
      <c r="F56" s="45"/>
      <c r="G56" s="56"/>
      <c r="H56" s="73">
        <f t="shared" si="22"/>
        <v>0</v>
      </c>
      <c r="I56" s="289">
        <f t="shared" si="2"/>
        <v>0</v>
      </c>
      <c r="J56" s="289">
        <f t="shared" si="10"/>
        <v>7.6409370845240462E-3</v>
      </c>
      <c r="K56" s="63">
        <v>30</v>
      </c>
      <c r="L56" s="74">
        <f t="shared" ca="1" si="11"/>
        <v>44944</v>
      </c>
      <c r="M56" s="56"/>
      <c r="N56" s="56"/>
      <c r="O56" s="56"/>
      <c r="P56" s="56"/>
      <c r="Q56" s="73">
        <f t="shared" si="3"/>
        <v>0</v>
      </c>
      <c r="S56" s="63">
        <v>30</v>
      </c>
      <c r="T56" s="74">
        <f t="shared" ca="1" si="12"/>
        <v>44944</v>
      </c>
      <c r="U56" s="56"/>
      <c r="V56" s="56"/>
      <c r="W56" s="73">
        <f t="shared" si="18"/>
        <v>151158</v>
      </c>
      <c r="X56" s="56"/>
      <c r="Y56" s="73">
        <f t="shared" si="4"/>
        <v>151158</v>
      </c>
      <c r="AA56" s="440">
        <v>30</v>
      </c>
      <c r="AB56" s="74">
        <f t="shared" si="13"/>
        <v>883</v>
      </c>
      <c r="AC56" s="56"/>
      <c r="AD56" s="56"/>
      <c r="AE56" s="73">
        <f t="shared" si="20"/>
        <v>127238.61111111111</v>
      </c>
      <c r="AF56" s="56"/>
      <c r="AG56" s="73">
        <f t="shared" si="5"/>
        <v>127238.61111111111</v>
      </c>
      <c r="AI56" s="63">
        <v>30</v>
      </c>
      <c r="AJ56" s="74">
        <f t="shared" ca="1" si="14"/>
        <v>44944</v>
      </c>
      <c r="AK56" s="56"/>
      <c r="AL56" s="56"/>
      <c r="AM56" s="56"/>
      <c r="AN56" s="56"/>
      <c r="AO56" s="73">
        <f t="shared" si="6"/>
        <v>0</v>
      </c>
      <c r="AQ56" s="454">
        <v>30</v>
      </c>
      <c r="AR56" s="74">
        <f t="shared" si="16"/>
        <v>883</v>
      </c>
      <c r="AS56" s="56"/>
      <c r="AT56" s="56"/>
      <c r="AU56" s="56"/>
      <c r="AV56" s="56"/>
      <c r="AW56" s="73">
        <f t="shared" si="25"/>
        <v>0</v>
      </c>
      <c r="AY56" s="454">
        <v>30</v>
      </c>
      <c r="AZ56" s="74">
        <f t="shared" si="17"/>
        <v>883</v>
      </c>
      <c r="BA56" s="56"/>
      <c r="BB56" s="56"/>
      <c r="BC56" s="73"/>
      <c r="BD56" s="56"/>
      <c r="BE56" s="73">
        <f t="shared" si="26"/>
        <v>0</v>
      </c>
    </row>
    <row r="57" spans="2:57" x14ac:dyDescent="0.45">
      <c r="B57" s="63">
        <v>31</v>
      </c>
      <c r="C57" s="74">
        <f t="shared" ca="1" si="9"/>
        <v>44975</v>
      </c>
      <c r="D57" s="56"/>
      <c r="E57" s="45"/>
      <c r="F57" s="45"/>
      <c r="G57" s="56"/>
      <c r="H57" s="73">
        <f t="shared" si="22"/>
        <v>0</v>
      </c>
      <c r="I57" s="289">
        <f t="shared" si="2"/>
        <v>0</v>
      </c>
      <c r="J57" s="289">
        <f t="shared" si="10"/>
        <v>7.6409370845240462E-3</v>
      </c>
      <c r="K57" s="63">
        <v>31</v>
      </c>
      <c r="L57" s="74">
        <f t="shared" ca="1" si="11"/>
        <v>44975</v>
      </c>
      <c r="M57" s="56"/>
      <c r="N57" s="56"/>
      <c r="O57" s="56"/>
      <c r="P57" s="56"/>
      <c r="Q57" s="73">
        <f t="shared" si="3"/>
        <v>0</v>
      </c>
      <c r="S57" s="63">
        <v>31</v>
      </c>
      <c r="T57" s="74">
        <f t="shared" ca="1" si="12"/>
        <v>44975</v>
      </c>
      <c r="U57" s="56"/>
      <c r="V57" s="56"/>
      <c r="W57" s="73">
        <f t="shared" si="18"/>
        <v>151158</v>
      </c>
      <c r="X57" s="56"/>
      <c r="Y57" s="73">
        <f t="shared" si="4"/>
        <v>151158</v>
      </c>
      <c r="AA57" s="440">
        <v>31</v>
      </c>
      <c r="AB57" s="74">
        <f t="shared" si="13"/>
        <v>913</v>
      </c>
      <c r="AC57" s="56"/>
      <c r="AD57" s="56"/>
      <c r="AE57" s="73">
        <f t="shared" si="20"/>
        <v>127238.61111111111</v>
      </c>
      <c r="AF57" s="56"/>
      <c r="AG57" s="73">
        <f t="shared" si="5"/>
        <v>127238.61111111111</v>
      </c>
      <c r="AI57" s="63">
        <v>31</v>
      </c>
      <c r="AJ57" s="74">
        <f t="shared" ca="1" si="14"/>
        <v>44975</v>
      </c>
      <c r="AK57" s="56"/>
      <c r="AL57" s="56"/>
      <c r="AM57" s="56"/>
      <c r="AN57" s="56"/>
      <c r="AO57" s="73">
        <f t="shared" si="6"/>
        <v>0</v>
      </c>
      <c r="AQ57" s="454">
        <v>31</v>
      </c>
      <c r="AR57" s="74">
        <f t="shared" si="16"/>
        <v>913</v>
      </c>
      <c r="AS57" s="56"/>
      <c r="AT57" s="56"/>
      <c r="AU57" s="56"/>
      <c r="AV57" s="56"/>
      <c r="AW57" s="73">
        <f t="shared" si="25"/>
        <v>0</v>
      </c>
      <c r="AY57" s="454">
        <v>31</v>
      </c>
      <c r="AZ57" s="74">
        <f t="shared" si="17"/>
        <v>913</v>
      </c>
      <c r="BA57" s="56"/>
      <c r="BB57" s="56"/>
      <c r="BC57" s="73"/>
      <c r="BD57" s="56"/>
      <c r="BE57" s="73">
        <f t="shared" si="26"/>
        <v>0</v>
      </c>
    </row>
    <row r="58" spans="2:57" x14ac:dyDescent="0.45">
      <c r="B58" s="63">
        <v>32</v>
      </c>
      <c r="C58" s="74">
        <f t="shared" ca="1" si="9"/>
        <v>45003</v>
      </c>
      <c r="D58" s="56"/>
      <c r="E58" s="45"/>
      <c r="F58" s="45"/>
      <c r="G58" s="56"/>
      <c r="H58" s="73">
        <f t="shared" si="22"/>
        <v>0</v>
      </c>
      <c r="I58" s="289">
        <f t="shared" si="2"/>
        <v>0</v>
      </c>
      <c r="J58" s="289">
        <f t="shared" si="10"/>
        <v>7.6409370845240462E-3</v>
      </c>
      <c r="K58" s="63">
        <v>32</v>
      </c>
      <c r="L58" s="74">
        <f t="shared" ca="1" si="11"/>
        <v>45003</v>
      </c>
      <c r="M58" s="56"/>
      <c r="N58" s="56"/>
      <c r="O58" s="56"/>
      <c r="P58" s="56"/>
      <c r="Q58" s="73">
        <f t="shared" si="3"/>
        <v>0</v>
      </c>
      <c r="S58" s="63">
        <v>32</v>
      </c>
      <c r="T58" s="74">
        <f t="shared" ca="1" si="12"/>
        <v>45003</v>
      </c>
      <c r="U58" s="56"/>
      <c r="V58" s="56"/>
      <c r="W58" s="73">
        <f t="shared" si="18"/>
        <v>151158</v>
      </c>
      <c r="X58" s="56"/>
      <c r="Y58" s="73">
        <f t="shared" si="4"/>
        <v>151158</v>
      </c>
      <c r="AA58" s="440">
        <v>32</v>
      </c>
      <c r="AB58" s="74">
        <f t="shared" si="13"/>
        <v>944</v>
      </c>
      <c r="AC58" s="56"/>
      <c r="AD58" s="56"/>
      <c r="AE58" s="73">
        <f t="shared" si="20"/>
        <v>127238.61111111111</v>
      </c>
      <c r="AF58" s="56"/>
      <c r="AG58" s="73">
        <f t="shared" si="5"/>
        <v>127238.61111111111</v>
      </c>
      <c r="AI58" s="63">
        <v>32</v>
      </c>
      <c r="AJ58" s="74">
        <f t="shared" ca="1" si="14"/>
        <v>45003</v>
      </c>
      <c r="AK58" s="56"/>
      <c r="AL58" s="56"/>
      <c r="AM58" s="56"/>
      <c r="AN58" s="56"/>
      <c r="AO58" s="73">
        <f t="shared" si="6"/>
        <v>0</v>
      </c>
      <c r="AQ58" s="454">
        <v>32</v>
      </c>
      <c r="AR58" s="74">
        <f t="shared" si="16"/>
        <v>944</v>
      </c>
      <c r="AS58" s="56"/>
      <c r="AT58" s="56"/>
      <c r="AU58" s="56"/>
      <c r="AV58" s="56"/>
      <c r="AW58" s="73">
        <f t="shared" si="25"/>
        <v>0</v>
      </c>
      <c r="AY58" s="454">
        <v>32</v>
      </c>
      <c r="AZ58" s="74">
        <f t="shared" si="17"/>
        <v>944</v>
      </c>
      <c r="BA58" s="56"/>
      <c r="BB58" s="56"/>
      <c r="BC58" s="73"/>
      <c r="BD58" s="56"/>
      <c r="BE58" s="73">
        <f t="shared" si="26"/>
        <v>0</v>
      </c>
    </row>
    <row r="59" spans="2:57" x14ac:dyDescent="0.45">
      <c r="B59" s="63">
        <v>33</v>
      </c>
      <c r="C59" s="74">
        <f t="shared" ca="1" si="9"/>
        <v>45034</v>
      </c>
      <c r="D59" s="56"/>
      <c r="E59" s="45"/>
      <c r="F59" s="45"/>
      <c r="G59" s="56"/>
      <c r="H59" s="73">
        <f t="shared" si="22"/>
        <v>0</v>
      </c>
      <c r="I59" s="289">
        <f t="shared" si="2"/>
        <v>0</v>
      </c>
      <c r="J59" s="289">
        <f t="shared" si="10"/>
        <v>7.6409370845240462E-3</v>
      </c>
      <c r="K59" s="63">
        <v>33</v>
      </c>
      <c r="L59" s="74">
        <f t="shared" ca="1" si="11"/>
        <v>45034</v>
      </c>
      <c r="M59" s="56"/>
      <c r="N59" s="56"/>
      <c r="O59" s="56"/>
      <c r="P59" s="56"/>
      <c r="Q59" s="73">
        <f t="shared" si="3"/>
        <v>0</v>
      </c>
      <c r="S59" s="63">
        <v>33</v>
      </c>
      <c r="T59" s="74">
        <f t="shared" ca="1" si="12"/>
        <v>45034</v>
      </c>
      <c r="U59" s="56"/>
      <c r="V59" s="56"/>
      <c r="W59" s="56"/>
      <c r="X59" s="56"/>
      <c r="Y59" s="73">
        <f t="shared" si="4"/>
        <v>0</v>
      </c>
      <c r="AA59" s="440">
        <v>33</v>
      </c>
      <c r="AB59" s="74">
        <f t="shared" si="13"/>
        <v>975</v>
      </c>
      <c r="AC59" s="56"/>
      <c r="AD59" s="56"/>
      <c r="AE59" s="73">
        <f t="shared" si="20"/>
        <v>127238.61111111111</v>
      </c>
      <c r="AF59" s="56"/>
      <c r="AG59" s="73">
        <f t="shared" si="5"/>
        <v>127238.61111111111</v>
      </c>
      <c r="AI59" s="63">
        <v>33</v>
      </c>
      <c r="AJ59" s="74">
        <f t="shared" ca="1" si="14"/>
        <v>45034</v>
      </c>
      <c r="AK59" s="56"/>
      <c r="AL59" s="56"/>
      <c r="AM59" s="56"/>
      <c r="AN59" s="56"/>
      <c r="AO59" s="73">
        <f t="shared" si="6"/>
        <v>0</v>
      </c>
      <c r="AQ59" s="454">
        <v>33</v>
      </c>
      <c r="AR59" s="74">
        <f t="shared" si="16"/>
        <v>975</v>
      </c>
      <c r="AS59" s="56"/>
      <c r="AT59" s="56"/>
      <c r="AU59" s="56"/>
      <c r="AV59" s="56"/>
      <c r="AW59" s="73">
        <f t="shared" si="25"/>
        <v>0</v>
      </c>
      <c r="AY59" s="454">
        <v>33</v>
      </c>
      <c r="AZ59" s="74">
        <f t="shared" si="17"/>
        <v>975</v>
      </c>
      <c r="BA59" s="56"/>
      <c r="BB59" s="56"/>
      <c r="BC59" s="73"/>
      <c r="BD59" s="56"/>
      <c r="BE59" s="73">
        <f t="shared" si="26"/>
        <v>0</v>
      </c>
    </row>
    <row r="60" spans="2:57" x14ac:dyDescent="0.45">
      <c r="B60" s="63">
        <v>34</v>
      </c>
      <c r="C60" s="74">
        <f t="shared" ca="1" si="9"/>
        <v>45064</v>
      </c>
      <c r="D60" s="56"/>
      <c r="E60" s="45"/>
      <c r="F60" s="45"/>
      <c r="G60" s="56"/>
      <c r="H60" s="73">
        <f t="shared" si="22"/>
        <v>0</v>
      </c>
      <c r="I60" s="289">
        <f t="shared" si="2"/>
        <v>0</v>
      </c>
      <c r="J60" s="289">
        <f t="shared" si="10"/>
        <v>7.6409370845240462E-3</v>
      </c>
      <c r="K60" s="63">
        <v>34</v>
      </c>
      <c r="L60" s="74">
        <f t="shared" ca="1" si="11"/>
        <v>45064</v>
      </c>
      <c r="M60" s="56"/>
      <c r="N60" s="56"/>
      <c r="O60" s="56"/>
      <c r="P60" s="56"/>
      <c r="Q60" s="73">
        <f t="shared" si="3"/>
        <v>0</v>
      </c>
      <c r="S60" s="63">
        <v>34</v>
      </c>
      <c r="T60" s="74">
        <f t="shared" ca="1" si="12"/>
        <v>45064</v>
      </c>
      <c r="U60" s="56"/>
      <c r="V60" s="56"/>
      <c r="W60" s="56"/>
      <c r="X60" s="56"/>
      <c r="Y60" s="73">
        <f t="shared" si="4"/>
        <v>0</v>
      </c>
      <c r="AA60" s="440">
        <v>34</v>
      </c>
      <c r="AB60" s="74">
        <f t="shared" si="13"/>
        <v>1005</v>
      </c>
      <c r="AC60" s="56"/>
      <c r="AD60" s="56"/>
      <c r="AE60" s="73">
        <f t="shared" si="20"/>
        <v>127238.61111111111</v>
      </c>
      <c r="AF60" s="56"/>
      <c r="AG60" s="73">
        <f t="shared" si="5"/>
        <v>127238.61111111111</v>
      </c>
      <c r="AI60" s="63">
        <v>34</v>
      </c>
      <c r="AJ60" s="74">
        <f t="shared" ca="1" si="14"/>
        <v>45064</v>
      </c>
      <c r="AK60" s="56"/>
      <c r="AL60" s="56"/>
      <c r="AM60" s="56"/>
      <c r="AN60" s="56"/>
      <c r="AO60" s="73">
        <f t="shared" si="6"/>
        <v>0</v>
      </c>
      <c r="AQ60" s="454">
        <v>34</v>
      </c>
      <c r="AR60" s="74">
        <f t="shared" si="16"/>
        <v>1005</v>
      </c>
      <c r="AS60" s="56"/>
      <c r="AT60" s="56"/>
      <c r="AU60" s="56"/>
      <c r="AV60" s="56"/>
      <c r="AW60" s="73">
        <f t="shared" si="25"/>
        <v>0</v>
      </c>
      <c r="AY60" s="454">
        <v>34</v>
      </c>
      <c r="AZ60" s="74">
        <f t="shared" si="17"/>
        <v>1005</v>
      </c>
      <c r="BA60" s="56"/>
      <c r="BB60" s="56"/>
      <c r="BC60" s="73"/>
      <c r="BD60" s="56"/>
      <c r="BE60" s="73">
        <f t="shared" si="26"/>
        <v>0</v>
      </c>
    </row>
    <row r="61" spans="2:57" x14ac:dyDescent="0.45">
      <c r="B61" s="63">
        <v>35</v>
      </c>
      <c r="C61" s="74">
        <f t="shared" ca="1" si="9"/>
        <v>45095</v>
      </c>
      <c r="D61" s="56"/>
      <c r="E61" s="45"/>
      <c r="F61" s="45"/>
      <c r="G61" s="56"/>
      <c r="H61" s="73">
        <f t="shared" si="22"/>
        <v>0</v>
      </c>
      <c r="I61" s="289">
        <f t="shared" si="2"/>
        <v>0</v>
      </c>
      <c r="J61" s="289">
        <f t="shared" si="10"/>
        <v>7.6409370845240462E-3</v>
      </c>
      <c r="K61" s="63">
        <v>35</v>
      </c>
      <c r="L61" s="74">
        <f t="shared" ca="1" si="11"/>
        <v>45095</v>
      </c>
      <c r="M61" s="56"/>
      <c r="N61" s="56"/>
      <c r="O61" s="56"/>
      <c r="P61" s="56"/>
      <c r="Q61" s="73">
        <f t="shared" si="3"/>
        <v>0</v>
      </c>
      <c r="S61" s="63">
        <v>35</v>
      </c>
      <c r="T61" s="74">
        <f t="shared" ca="1" si="12"/>
        <v>45095</v>
      </c>
      <c r="U61" s="56"/>
      <c r="V61" s="56"/>
      <c r="W61" s="56"/>
      <c r="X61" s="56"/>
      <c r="Y61" s="73">
        <f t="shared" si="4"/>
        <v>0</v>
      </c>
      <c r="AA61" s="440">
        <v>35</v>
      </c>
      <c r="AB61" s="74">
        <f t="shared" si="13"/>
        <v>1036</v>
      </c>
      <c r="AC61" s="56"/>
      <c r="AD61" s="56"/>
      <c r="AE61" s="73">
        <f t="shared" si="20"/>
        <v>127238.61111111111</v>
      </c>
      <c r="AF61" s="56"/>
      <c r="AG61" s="73">
        <f t="shared" si="5"/>
        <v>127238.61111111111</v>
      </c>
      <c r="AI61" s="63">
        <v>35</v>
      </c>
      <c r="AJ61" s="74">
        <f t="shared" ca="1" si="14"/>
        <v>45095</v>
      </c>
      <c r="AK61" s="56"/>
      <c r="AL61" s="56"/>
      <c r="AM61" s="56"/>
      <c r="AN61" s="56"/>
      <c r="AO61" s="73">
        <f t="shared" si="6"/>
        <v>0</v>
      </c>
      <c r="AQ61" s="454">
        <v>35</v>
      </c>
      <c r="AR61" s="74">
        <f t="shared" si="16"/>
        <v>1036</v>
      </c>
      <c r="AS61" s="56"/>
      <c r="AT61" s="56"/>
      <c r="AU61" s="56"/>
      <c r="AV61" s="56"/>
      <c r="AW61" s="73">
        <f t="shared" si="25"/>
        <v>0</v>
      </c>
      <c r="AY61" s="454">
        <v>35</v>
      </c>
      <c r="AZ61" s="74">
        <f t="shared" si="17"/>
        <v>1036</v>
      </c>
      <c r="BA61" s="56"/>
      <c r="BB61" s="56"/>
      <c r="BC61" s="73"/>
      <c r="BD61" s="56"/>
      <c r="BE61" s="73">
        <f t="shared" si="26"/>
        <v>0</v>
      </c>
    </row>
    <row r="62" spans="2:57" x14ac:dyDescent="0.45">
      <c r="B62" s="63">
        <v>36</v>
      </c>
      <c r="C62" s="74">
        <f t="shared" ca="1" si="9"/>
        <v>45125</v>
      </c>
      <c r="D62" s="56"/>
      <c r="E62" s="45"/>
      <c r="F62" s="45"/>
      <c r="G62" s="56"/>
      <c r="H62" s="73">
        <f t="shared" si="22"/>
        <v>0</v>
      </c>
      <c r="I62" s="289">
        <f t="shared" si="2"/>
        <v>0</v>
      </c>
      <c r="J62" s="289">
        <f t="shared" si="10"/>
        <v>7.6409370845240462E-3</v>
      </c>
      <c r="K62" s="63">
        <v>36</v>
      </c>
      <c r="L62" s="74">
        <f t="shared" ca="1" si="11"/>
        <v>45125</v>
      </c>
      <c r="M62" s="56"/>
      <c r="N62" s="56"/>
      <c r="O62" s="56"/>
      <c r="P62" s="56"/>
      <c r="Q62" s="73">
        <f t="shared" si="3"/>
        <v>0</v>
      </c>
      <c r="S62" s="63">
        <v>36</v>
      </c>
      <c r="T62" s="74">
        <f t="shared" ca="1" si="12"/>
        <v>45125</v>
      </c>
      <c r="U62" s="56"/>
      <c r="V62" s="56"/>
      <c r="W62" s="56"/>
      <c r="X62" s="56"/>
      <c r="Y62" s="73">
        <f t="shared" si="4"/>
        <v>0</v>
      </c>
      <c r="AA62" s="440">
        <v>36</v>
      </c>
      <c r="AB62" s="74">
        <f t="shared" si="13"/>
        <v>1066</v>
      </c>
      <c r="AC62" s="56"/>
      <c r="AD62" s="56"/>
      <c r="AE62" s="73">
        <f t="shared" si="20"/>
        <v>127238.61111111111</v>
      </c>
      <c r="AF62" s="56"/>
      <c r="AG62" s="73">
        <f t="shared" si="5"/>
        <v>127238.61111111111</v>
      </c>
      <c r="AI62" s="63">
        <v>36</v>
      </c>
      <c r="AJ62" s="74">
        <f t="shared" ca="1" si="14"/>
        <v>45125</v>
      </c>
      <c r="AK62" s="56"/>
      <c r="AL62" s="56"/>
      <c r="AM62" s="56"/>
      <c r="AN62" s="56"/>
      <c r="AO62" s="73">
        <f t="shared" si="6"/>
        <v>0</v>
      </c>
      <c r="AQ62" s="454">
        <v>36</v>
      </c>
      <c r="AR62" s="74">
        <f t="shared" si="16"/>
        <v>1066</v>
      </c>
      <c r="AS62" s="56"/>
      <c r="AT62" s="56"/>
      <c r="AU62" s="56"/>
      <c r="AV62" s="56"/>
      <c r="AW62" s="73">
        <f t="shared" si="25"/>
        <v>0</v>
      </c>
      <c r="AY62" s="454">
        <v>36</v>
      </c>
      <c r="AZ62" s="74">
        <f t="shared" si="17"/>
        <v>1066</v>
      </c>
      <c r="BA62" s="56"/>
      <c r="BB62" s="56"/>
      <c r="BC62" s="73"/>
      <c r="BD62" s="56"/>
      <c r="BE62" s="73">
        <f t="shared" si="26"/>
        <v>0</v>
      </c>
    </row>
    <row r="63" spans="2:57" x14ac:dyDescent="0.45">
      <c r="B63" s="63">
        <v>37</v>
      </c>
      <c r="C63" s="74">
        <f t="shared" ca="1" si="9"/>
        <v>45156</v>
      </c>
      <c r="D63" s="56"/>
      <c r="E63" s="45"/>
      <c r="F63" s="45"/>
      <c r="G63" s="56"/>
      <c r="H63" s="73">
        <f t="shared" si="22"/>
        <v>0</v>
      </c>
      <c r="I63" s="289">
        <f t="shared" si="2"/>
        <v>0</v>
      </c>
      <c r="J63" s="289">
        <f t="shared" si="10"/>
        <v>7.6409370845240462E-3</v>
      </c>
      <c r="K63" s="63">
        <v>37</v>
      </c>
      <c r="L63" s="74">
        <f t="shared" ca="1" si="11"/>
        <v>45156</v>
      </c>
      <c r="M63" s="56"/>
      <c r="N63" s="56"/>
      <c r="O63" s="56"/>
      <c r="P63" s="56"/>
      <c r="Q63" s="73">
        <f t="shared" si="3"/>
        <v>0</v>
      </c>
      <c r="S63" s="63">
        <v>37</v>
      </c>
      <c r="T63" s="74">
        <f t="shared" ca="1" si="12"/>
        <v>45156</v>
      </c>
      <c r="U63" s="56"/>
      <c r="V63" s="56"/>
      <c r="W63" s="56"/>
      <c r="X63" s="56"/>
      <c r="Y63" s="73">
        <f t="shared" si="4"/>
        <v>0</v>
      </c>
      <c r="AA63" s="440">
        <v>37</v>
      </c>
      <c r="AB63" s="74">
        <f t="shared" si="13"/>
        <v>1097</v>
      </c>
      <c r="AC63" s="56"/>
      <c r="AD63" s="56"/>
      <c r="AE63" s="73">
        <f t="shared" si="20"/>
        <v>127238.61111111111</v>
      </c>
      <c r="AF63" s="56"/>
      <c r="AG63" s="73">
        <f t="shared" si="5"/>
        <v>127238.61111111111</v>
      </c>
      <c r="AI63" s="63">
        <v>37</v>
      </c>
      <c r="AJ63" s="74">
        <f t="shared" ca="1" si="14"/>
        <v>45156</v>
      </c>
      <c r="AK63" s="56"/>
      <c r="AL63" s="56"/>
      <c r="AM63" s="56"/>
      <c r="AN63" s="56"/>
      <c r="AO63" s="73">
        <f t="shared" si="6"/>
        <v>0</v>
      </c>
      <c r="AQ63" s="454">
        <v>37</v>
      </c>
      <c r="AR63" s="74">
        <f t="shared" si="16"/>
        <v>1097</v>
      </c>
      <c r="AS63" s="56"/>
      <c r="AT63" s="56"/>
      <c r="AU63" s="56"/>
      <c r="AV63" s="56"/>
      <c r="AW63" s="73">
        <f t="shared" si="25"/>
        <v>0</v>
      </c>
      <c r="AY63" s="454">
        <v>37</v>
      </c>
      <c r="AZ63" s="74">
        <f t="shared" si="17"/>
        <v>1097</v>
      </c>
      <c r="BA63" s="56"/>
      <c r="BB63" s="56"/>
      <c r="BC63" s="73"/>
      <c r="BD63" s="56"/>
      <c r="BE63" s="73">
        <f t="shared" si="26"/>
        <v>0</v>
      </c>
    </row>
    <row r="64" spans="2:57" x14ac:dyDescent="0.45">
      <c r="B64" s="63">
        <v>38</v>
      </c>
      <c r="C64" s="74">
        <f t="shared" ca="1" si="9"/>
        <v>45187</v>
      </c>
      <c r="D64" s="56"/>
      <c r="E64" s="45"/>
      <c r="F64" s="45"/>
      <c r="G64" s="56"/>
      <c r="H64" s="73">
        <f t="shared" si="22"/>
        <v>0</v>
      </c>
      <c r="I64" s="289">
        <f t="shared" si="2"/>
        <v>0</v>
      </c>
      <c r="J64" s="289">
        <f t="shared" si="10"/>
        <v>7.6409370845240462E-3</v>
      </c>
      <c r="K64" s="63">
        <v>38</v>
      </c>
      <c r="L64" s="74">
        <f t="shared" ca="1" si="11"/>
        <v>45187</v>
      </c>
      <c r="M64" s="56"/>
      <c r="N64" s="56"/>
      <c r="O64" s="56"/>
      <c r="P64" s="56"/>
      <c r="Q64" s="73">
        <f t="shared" si="3"/>
        <v>0</v>
      </c>
      <c r="S64" s="63">
        <v>38</v>
      </c>
      <c r="T64" s="74">
        <f t="shared" ca="1" si="12"/>
        <v>45187</v>
      </c>
      <c r="U64" s="56"/>
      <c r="V64" s="56"/>
      <c r="W64" s="56"/>
      <c r="X64" s="56"/>
      <c r="Y64" s="73">
        <f t="shared" si="4"/>
        <v>0</v>
      </c>
      <c r="AA64" s="440">
        <v>38</v>
      </c>
      <c r="AB64" s="74">
        <f t="shared" si="13"/>
        <v>1128</v>
      </c>
      <c r="AC64" s="56"/>
      <c r="AD64" s="56"/>
      <c r="AE64" s="73">
        <f t="shared" si="20"/>
        <v>127238.61111111111</v>
      </c>
      <c r="AF64" s="56"/>
      <c r="AG64" s="73">
        <f t="shared" si="5"/>
        <v>127238.61111111111</v>
      </c>
      <c r="AI64" s="63">
        <v>38</v>
      </c>
      <c r="AJ64" s="74">
        <f t="shared" ca="1" si="14"/>
        <v>45187</v>
      </c>
      <c r="AK64" s="56"/>
      <c r="AL64" s="56"/>
      <c r="AM64" s="56"/>
      <c r="AN64" s="56"/>
      <c r="AO64" s="73">
        <f t="shared" si="6"/>
        <v>0</v>
      </c>
      <c r="AQ64" s="454">
        <v>38</v>
      </c>
      <c r="AR64" s="74">
        <f t="shared" si="16"/>
        <v>1128</v>
      </c>
      <c r="AS64" s="56"/>
      <c r="AT64" s="56"/>
      <c r="AU64" s="56"/>
      <c r="AV64" s="56"/>
      <c r="AW64" s="73">
        <f t="shared" si="25"/>
        <v>0</v>
      </c>
      <c r="AY64" s="454">
        <v>38</v>
      </c>
      <c r="AZ64" s="74">
        <f t="shared" si="17"/>
        <v>1128</v>
      </c>
      <c r="BA64" s="56"/>
      <c r="BB64" s="56"/>
      <c r="BC64" s="73"/>
      <c r="BD64" s="56"/>
      <c r="BE64" s="73">
        <f t="shared" si="26"/>
        <v>0</v>
      </c>
    </row>
    <row r="65" spans="2:57" hidden="1" x14ac:dyDescent="0.45">
      <c r="B65" s="225">
        <v>39</v>
      </c>
      <c r="C65" s="74">
        <f t="shared" ca="1" si="9"/>
        <v>45217</v>
      </c>
      <c r="D65" s="56"/>
      <c r="E65" s="45"/>
      <c r="F65" s="45"/>
      <c r="G65" s="56"/>
      <c r="H65" s="73">
        <f t="shared" si="22"/>
        <v>0</v>
      </c>
      <c r="I65" s="289">
        <f t="shared" si="2"/>
        <v>0</v>
      </c>
      <c r="J65" s="289">
        <f t="shared" si="10"/>
        <v>7.6409370845240462E-3</v>
      </c>
      <c r="K65" s="226">
        <f>K64+1</f>
        <v>39</v>
      </c>
      <c r="L65" s="74">
        <f t="shared" ca="1" si="11"/>
        <v>45217</v>
      </c>
      <c r="M65" s="56"/>
      <c r="N65" s="56"/>
      <c r="O65" s="56"/>
      <c r="P65" s="56"/>
      <c r="Q65" s="73"/>
      <c r="S65" s="225"/>
      <c r="T65" s="74"/>
      <c r="U65" s="56"/>
      <c r="V65" s="56"/>
      <c r="W65" s="56"/>
      <c r="X65" s="56"/>
      <c r="Y65" s="73"/>
      <c r="AA65" s="440"/>
      <c r="AB65" s="74"/>
      <c r="AC65" s="56"/>
      <c r="AD65" s="56"/>
      <c r="AE65" s="56"/>
      <c r="AF65" s="56"/>
      <c r="AG65" s="73"/>
      <c r="AI65" s="225"/>
      <c r="AJ65" s="74"/>
      <c r="AK65" s="56"/>
      <c r="AL65" s="56"/>
      <c r="AM65" s="56"/>
      <c r="AN65" s="56"/>
      <c r="AO65" s="73"/>
      <c r="AQ65" s="454"/>
      <c r="AR65" s="74"/>
      <c r="AS65" s="56"/>
      <c r="AT65" s="56"/>
      <c r="AU65" s="56"/>
      <c r="AV65" s="56"/>
      <c r="AW65" s="73"/>
      <c r="AY65" s="454"/>
      <c r="AZ65" s="74"/>
      <c r="BA65" s="56"/>
      <c r="BB65" s="56"/>
      <c r="BC65" s="73"/>
      <c r="BD65" s="56"/>
      <c r="BE65" s="73"/>
    </row>
    <row r="66" spans="2:57" hidden="1" x14ac:dyDescent="0.45">
      <c r="B66" s="225">
        <v>40</v>
      </c>
      <c r="C66" s="74">
        <f t="shared" ca="1" si="9"/>
        <v>45248</v>
      </c>
      <c r="D66" s="56"/>
      <c r="E66" s="45"/>
      <c r="F66" s="45"/>
      <c r="G66" s="56"/>
      <c r="H66" s="73">
        <f t="shared" si="22"/>
        <v>0</v>
      </c>
      <c r="I66" s="289">
        <f t="shared" si="2"/>
        <v>0</v>
      </c>
      <c r="J66" s="289">
        <f t="shared" si="10"/>
        <v>7.6409370845240462E-3</v>
      </c>
      <c r="K66" s="226">
        <f t="shared" ref="K66:K72" si="27">K65+1</f>
        <v>40</v>
      </c>
      <c r="L66" s="74">
        <f t="shared" ca="1" si="11"/>
        <v>45248</v>
      </c>
      <c r="M66" s="56"/>
      <c r="N66" s="56"/>
      <c r="O66" s="56"/>
      <c r="P66" s="56"/>
      <c r="Q66" s="73"/>
      <c r="S66" s="225"/>
      <c r="T66" s="74"/>
      <c r="U66" s="56"/>
      <c r="V66" s="56"/>
      <c r="W66" s="56"/>
      <c r="X66" s="56"/>
      <c r="Y66" s="73"/>
      <c r="AA66" s="440"/>
      <c r="AB66" s="74"/>
      <c r="AC66" s="56"/>
      <c r="AD66" s="56"/>
      <c r="AE66" s="56"/>
      <c r="AF66" s="56"/>
      <c r="AG66" s="73"/>
      <c r="AI66" s="225"/>
      <c r="AJ66" s="74"/>
      <c r="AK66" s="56"/>
      <c r="AL66" s="56"/>
      <c r="AM66" s="56"/>
      <c r="AN66" s="56"/>
      <c r="AO66" s="73"/>
      <c r="AQ66" s="454"/>
      <c r="AR66" s="74"/>
      <c r="AS66" s="56"/>
      <c r="AT66" s="56"/>
      <c r="AU66" s="56"/>
      <c r="AV66" s="56"/>
      <c r="AW66" s="73"/>
      <c r="AY66" s="454"/>
      <c r="AZ66" s="74"/>
      <c r="BA66" s="56"/>
      <c r="BB66" s="56"/>
      <c r="BC66" s="73"/>
      <c r="BD66" s="56"/>
      <c r="BE66" s="73"/>
    </row>
    <row r="67" spans="2:57" hidden="1" x14ac:dyDescent="0.45">
      <c r="B67" s="225">
        <v>41</v>
      </c>
      <c r="C67" s="74">
        <f t="shared" ca="1" si="9"/>
        <v>45278</v>
      </c>
      <c r="D67" s="56"/>
      <c r="E67" s="45"/>
      <c r="F67" s="45"/>
      <c r="G67" s="56"/>
      <c r="H67" s="73">
        <f t="shared" si="22"/>
        <v>0</v>
      </c>
      <c r="I67" s="289">
        <f t="shared" si="2"/>
        <v>0</v>
      </c>
      <c r="J67" s="289">
        <f t="shared" si="10"/>
        <v>7.6409370845240462E-3</v>
      </c>
      <c r="K67" s="226">
        <f t="shared" si="27"/>
        <v>41</v>
      </c>
      <c r="L67" s="74">
        <f t="shared" ca="1" si="11"/>
        <v>45278</v>
      </c>
      <c r="M67" s="56"/>
      <c r="N67" s="56"/>
      <c r="O67" s="56"/>
      <c r="P67" s="56"/>
      <c r="Q67" s="73"/>
      <c r="S67" s="225"/>
      <c r="T67" s="74"/>
      <c r="U67" s="56"/>
      <c r="V67" s="56"/>
      <c r="W67" s="56"/>
      <c r="X67" s="56"/>
      <c r="Y67" s="73"/>
      <c r="AA67" s="440"/>
      <c r="AB67" s="74"/>
      <c r="AC67" s="56"/>
      <c r="AD67" s="56"/>
      <c r="AE67" s="56"/>
      <c r="AF67" s="56"/>
      <c r="AG67" s="73"/>
      <c r="AI67" s="225"/>
      <c r="AJ67" s="74"/>
      <c r="AK67" s="56"/>
      <c r="AL67" s="56"/>
      <c r="AM67" s="56"/>
      <c r="AN67" s="56"/>
      <c r="AO67" s="73"/>
      <c r="AQ67" s="454"/>
      <c r="AR67" s="74"/>
      <c r="AS67" s="56"/>
      <c r="AT67" s="56"/>
      <c r="AU67" s="56"/>
      <c r="AV67" s="56"/>
      <c r="AW67" s="73"/>
      <c r="AY67" s="454"/>
      <c r="AZ67" s="74"/>
      <c r="BA67" s="56"/>
      <c r="BB67" s="56"/>
      <c r="BC67" s="73"/>
      <c r="BD67" s="56"/>
      <c r="BE67" s="73"/>
    </row>
    <row r="68" spans="2:57" hidden="1" x14ac:dyDescent="0.45">
      <c r="B68" s="225">
        <v>42</v>
      </c>
      <c r="C68" s="74">
        <f t="shared" ca="1" si="9"/>
        <v>45309</v>
      </c>
      <c r="D68" s="56"/>
      <c r="E68" s="45"/>
      <c r="F68" s="45"/>
      <c r="G68" s="56"/>
      <c r="H68" s="73">
        <f t="shared" si="22"/>
        <v>0</v>
      </c>
      <c r="I68" s="289">
        <f t="shared" si="2"/>
        <v>0</v>
      </c>
      <c r="J68" s="289">
        <f t="shared" si="10"/>
        <v>7.6409370845240462E-3</v>
      </c>
      <c r="K68" s="226">
        <f t="shared" si="27"/>
        <v>42</v>
      </c>
      <c r="L68" s="74">
        <f t="shared" ca="1" si="11"/>
        <v>45309</v>
      </c>
      <c r="M68" s="56"/>
      <c r="N68" s="56"/>
      <c r="O68" s="56"/>
      <c r="P68" s="56"/>
      <c r="Q68" s="73"/>
      <c r="S68" s="225"/>
      <c r="T68" s="74"/>
      <c r="U68" s="56"/>
      <c r="V68" s="56"/>
      <c r="W68" s="56"/>
      <c r="X68" s="56"/>
      <c r="Y68" s="73"/>
      <c r="AA68" s="440"/>
      <c r="AB68" s="74"/>
      <c r="AC68" s="56"/>
      <c r="AD68" s="56"/>
      <c r="AE68" s="56"/>
      <c r="AF68" s="56"/>
      <c r="AG68" s="73"/>
      <c r="AI68" s="225"/>
      <c r="AJ68" s="74"/>
      <c r="AK68" s="56"/>
      <c r="AL68" s="56"/>
      <c r="AM68" s="56"/>
      <c r="AN68" s="56"/>
      <c r="AO68" s="73"/>
      <c r="AQ68" s="454"/>
      <c r="AR68" s="74"/>
      <c r="AS68" s="56"/>
      <c r="AT68" s="56"/>
      <c r="AU68" s="56"/>
      <c r="AV68" s="56"/>
      <c r="AW68" s="73"/>
      <c r="AY68" s="454"/>
      <c r="AZ68" s="74"/>
      <c r="BA68" s="56"/>
      <c r="BB68" s="56"/>
      <c r="BC68" s="73"/>
      <c r="BD68" s="56"/>
      <c r="BE68" s="73"/>
    </row>
    <row r="69" spans="2:57" hidden="1" x14ac:dyDescent="0.45">
      <c r="B69" s="225">
        <v>43</v>
      </c>
      <c r="C69" s="74">
        <f t="shared" ca="1" si="9"/>
        <v>45340</v>
      </c>
      <c r="D69" s="56"/>
      <c r="E69" s="45"/>
      <c r="F69" s="45"/>
      <c r="G69" s="56"/>
      <c r="H69" s="73">
        <f t="shared" si="22"/>
        <v>0</v>
      </c>
      <c r="I69" s="289">
        <f t="shared" si="2"/>
        <v>0</v>
      </c>
      <c r="J69" s="289">
        <f t="shared" si="10"/>
        <v>7.6409370845240462E-3</v>
      </c>
      <c r="K69" s="226">
        <f t="shared" si="27"/>
        <v>43</v>
      </c>
      <c r="L69" s="74">
        <f t="shared" ca="1" si="11"/>
        <v>45340</v>
      </c>
      <c r="M69" s="56"/>
      <c r="N69" s="56"/>
      <c r="O69" s="56"/>
      <c r="P69" s="56"/>
      <c r="Q69" s="73"/>
      <c r="S69" s="225"/>
      <c r="T69" s="74"/>
      <c r="U69" s="56"/>
      <c r="V69" s="56"/>
      <c r="W69" s="56"/>
      <c r="X69" s="56"/>
      <c r="Y69" s="73"/>
      <c r="AA69" s="440"/>
      <c r="AB69" s="74"/>
      <c r="AC69" s="56"/>
      <c r="AD69" s="56"/>
      <c r="AE69" s="56"/>
      <c r="AF69" s="56"/>
      <c r="AG69" s="73"/>
      <c r="AI69" s="225"/>
      <c r="AJ69" s="74"/>
      <c r="AK69" s="56"/>
      <c r="AL69" s="56"/>
      <c r="AM69" s="56"/>
      <c r="AN69" s="56"/>
      <c r="AO69" s="73"/>
      <c r="AQ69" s="454"/>
      <c r="AR69" s="74"/>
      <c r="AS69" s="56"/>
      <c r="AT69" s="56"/>
      <c r="AU69" s="56"/>
      <c r="AV69" s="56"/>
      <c r="AW69" s="73"/>
      <c r="AY69" s="454"/>
      <c r="AZ69" s="74"/>
      <c r="BA69" s="56"/>
      <c r="BB69" s="56"/>
      <c r="BC69" s="73"/>
      <c r="BD69" s="56"/>
      <c r="BE69" s="73"/>
    </row>
    <row r="70" spans="2:57" hidden="1" x14ac:dyDescent="0.45">
      <c r="B70" s="225">
        <v>44</v>
      </c>
      <c r="C70" s="74">
        <f t="shared" ca="1" si="9"/>
        <v>45369</v>
      </c>
      <c r="D70" s="56"/>
      <c r="E70" s="45"/>
      <c r="F70" s="45"/>
      <c r="G70" s="56"/>
      <c r="H70" s="73">
        <f t="shared" si="22"/>
        <v>0</v>
      </c>
      <c r="I70" s="289">
        <f t="shared" si="2"/>
        <v>0</v>
      </c>
      <c r="J70" s="289">
        <f t="shared" si="10"/>
        <v>7.6409370845240462E-3</v>
      </c>
      <c r="K70" s="226">
        <f t="shared" si="27"/>
        <v>44</v>
      </c>
      <c r="L70" s="74">
        <f t="shared" ca="1" si="11"/>
        <v>45369</v>
      </c>
      <c r="M70" s="56"/>
      <c r="N70" s="56"/>
      <c r="O70" s="56"/>
      <c r="P70" s="56"/>
      <c r="Q70" s="73"/>
      <c r="S70" s="225"/>
      <c r="T70" s="74"/>
      <c r="U70" s="56"/>
      <c r="V70" s="56"/>
      <c r="W70" s="56"/>
      <c r="X70" s="56"/>
      <c r="Y70" s="73"/>
      <c r="AA70" s="440"/>
      <c r="AB70" s="74"/>
      <c r="AC70" s="56"/>
      <c r="AD70" s="56"/>
      <c r="AE70" s="56"/>
      <c r="AF70" s="56"/>
      <c r="AG70" s="73"/>
      <c r="AI70" s="225"/>
      <c r="AJ70" s="74"/>
      <c r="AK70" s="56"/>
      <c r="AL70" s="56"/>
      <c r="AM70" s="56"/>
      <c r="AN70" s="56"/>
      <c r="AO70" s="73"/>
      <c r="AQ70" s="454"/>
      <c r="AR70" s="74"/>
      <c r="AS70" s="56"/>
      <c r="AT70" s="56"/>
      <c r="AU70" s="56"/>
      <c r="AV70" s="56"/>
      <c r="AW70" s="73"/>
      <c r="AY70" s="454"/>
      <c r="AZ70" s="74"/>
      <c r="BA70" s="56"/>
      <c r="BB70" s="56"/>
      <c r="BC70" s="73"/>
      <c r="BD70" s="56"/>
      <c r="BE70" s="73"/>
    </row>
    <row r="71" spans="2:57" hidden="1" x14ac:dyDescent="0.45">
      <c r="B71" s="225">
        <v>45</v>
      </c>
      <c r="C71" s="74">
        <f t="shared" ca="1" si="9"/>
        <v>45400</v>
      </c>
      <c r="D71" s="56"/>
      <c r="E71" s="56"/>
      <c r="F71" s="45"/>
      <c r="G71" s="56"/>
      <c r="H71" s="73">
        <f t="shared" si="22"/>
        <v>0</v>
      </c>
      <c r="I71" s="289">
        <f t="shared" si="2"/>
        <v>0</v>
      </c>
      <c r="J71" s="289">
        <f t="shared" si="10"/>
        <v>7.6409370845240462E-3</v>
      </c>
      <c r="K71" s="226">
        <f t="shared" si="27"/>
        <v>45</v>
      </c>
      <c r="L71" s="74">
        <f ca="1">EDATE(L64,1)</f>
        <v>45217</v>
      </c>
      <c r="M71" s="56"/>
      <c r="N71" s="56"/>
      <c r="O71" s="56"/>
      <c r="P71" s="56"/>
      <c r="Q71" s="73">
        <f t="shared" si="3"/>
        <v>0</v>
      </c>
      <c r="S71" s="63">
        <v>39</v>
      </c>
      <c r="T71" s="74">
        <f ca="1">EDATE(T64,1)</f>
        <v>45217</v>
      </c>
      <c r="U71" s="56"/>
      <c r="V71" s="56"/>
      <c r="W71" s="56"/>
      <c r="X71" s="56"/>
      <c r="Y71" s="73">
        <f t="shared" si="4"/>
        <v>0</v>
      </c>
      <c r="AA71" s="440">
        <v>39</v>
      </c>
      <c r="AB71" s="74">
        <f>EDATE(AB64,1)</f>
        <v>1156</v>
      </c>
      <c r="AC71" s="56"/>
      <c r="AD71" s="56"/>
      <c r="AE71" s="56"/>
      <c r="AF71" s="56"/>
      <c r="AG71" s="73">
        <f t="shared" ref="AG71:AG72" si="28">SUM(AC71+AD71+AE71-AF71)</f>
        <v>0</v>
      </c>
      <c r="AI71" s="63">
        <v>39</v>
      </c>
      <c r="AJ71" s="74">
        <f ca="1">EDATE(AJ64,1)</f>
        <v>45217</v>
      </c>
      <c r="AK71" s="56"/>
      <c r="AL71" s="56"/>
      <c r="AM71" s="56"/>
      <c r="AN71" s="56"/>
      <c r="AO71" s="73">
        <f t="shared" si="6"/>
        <v>0</v>
      </c>
      <c r="AQ71" s="454">
        <v>39</v>
      </c>
      <c r="AR71" s="74">
        <f>EDATE(AR64,1)</f>
        <v>1156</v>
      </c>
      <c r="AS71" s="56"/>
      <c r="AT71" s="56"/>
      <c r="AU71" s="56"/>
      <c r="AV71" s="56"/>
      <c r="AW71" s="73">
        <f t="shared" ref="AW71:AW72" si="29">SUM(AS71+AT71+AU71-AV71)</f>
        <v>0</v>
      </c>
      <c r="AY71" s="454">
        <v>39</v>
      </c>
      <c r="AZ71" s="74">
        <f>EDATE(AZ64,1)</f>
        <v>1156</v>
      </c>
      <c r="BA71" s="56"/>
      <c r="BB71" s="56"/>
      <c r="BC71" s="73"/>
      <c r="BD71" s="56"/>
      <c r="BE71" s="73">
        <f t="shared" ref="BE71:BE72" si="30">SUM(BA71+BB71+BC71-BD71)</f>
        <v>0</v>
      </c>
    </row>
    <row r="72" spans="2:57" hidden="1" x14ac:dyDescent="0.45">
      <c r="B72" s="225">
        <v>46</v>
      </c>
      <c r="C72" s="74">
        <f t="shared" ca="1" si="9"/>
        <v>45430</v>
      </c>
      <c r="D72" s="56"/>
      <c r="E72" s="56"/>
      <c r="F72" s="45"/>
      <c r="G72" s="56"/>
      <c r="H72" s="73">
        <f t="shared" si="22"/>
        <v>0</v>
      </c>
      <c r="I72" s="289">
        <f t="shared" si="2"/>
        <v>0</v>
      </c>
      <c r="J72" s="289">
        <f t="shared" si="10"/>
        <v>7.6409370845240462E-3</v>
      </c>
      <c r="K72" s="226">
        <f t="shared" si="27"/>
        <v>46</v>
      </c>
      <c r="L72" s="74">
        <f t="shared" ca="1" si="11"/>
        <v>45248</v>
      </c>
      <c r="M72" s="56"/>
      <c r="N72" s="56"/>
      <c r="O72" s="56"/>
      <c r="P72" s="56"/>
      <c r="Q72" s="73">
        <f t="shared" si="3"/>
        <v>0</v>
      </c>
      <c r="S72" s="63">
        <v>40</v>
      </c>
      <c r="T72" s="74">
        <f t="shared" ca="1" si="12"/>
        <v>45248</v>
      </c>
      <c r="U72" s="56"/>
      <c r="V72" s="56"/>
      <c r="W72" s="56"/>
      <c r="X72" s="56"/>
      <c r="Y72" s="73">
        <f t="shared" si="4"/>
        <v>0</v>
      </c>
      <c r="AA72" s="440">
        <v>40</v>
      </c>
      <c r="AB72" s="74">
        <f t="shared" si="13"/>
        <v>1187</v>
      </c>
      <c r="AC72" s="56"/>
      <c r="AD72" s="56"/>
      <c r="AE72" s="56"/>
      <c r="AF72" s="56"/>
      <c r="AG72" s="73">
        <f t="shared" si="28"/>
        <v>0</v>
      </c>
      <c r="AI72" s="63">
        <v>40</v>
      </c>
      <c r="AJ72" s="74">
        <f t="shared" ca="1" si="14"/>
        <v>45248</v>
      </c>
      <c r="AK72" s="56"/>
      <c r="AL72" s="56"/>
      <c r="AM72" s="56"/>
      <c r="AN72" s="56"/>
      <c r="AO72" s="73">
        <f t="shared" si="6"/>
        <v>0</v>
      </c>
      <c r="AQ72" s="454">
        <v>40</v>
      </c>
      <c r="AR72" s="74">
        <f t="shared" si="16"/>
        <v>1187</v>
      </c>
      <c r="AS72" s="56"/>
      <c r="AT72" s="56"/>
      <c r="AU72" s="56"/>
      <c r="AV72" s="56"/>
      <c r="AW72" s="73">
        <f t="shared" si="29"/>
        <v>0</v>
      </c>
      <c r="AY72" s="454">
        <v>40</v>
      </c>
      <c r="AZ72" s="74">
        <f t="shared" si="17"/>
        <v>1187</v>
      </c>
      <c r="BA72" s="56"/>
      <c r="BB72" s="56"/>
      <c r="BC72" s="73"/>
      <c r="BD72" s="56"/>
      <c r="BE72" s="73">
        <f t="shared" si="30"/>
        <v>0</v>
      </c>
    </row>
    <row r="73" spans="2:57" s="11" customFormat="1" x14ac:dyDescent="0.45">
      <c r="B73" s="75" t="s">
        <v>633</v>
      </c>
      <c r="C73" s="76"/>
      <c r="D73" s="82">
        <f>SUM(D27:D72)</f>
        <v>50000</v>
      </c>
      <c r="E73" s="82">
        <f>SUM(E27:E72)</f>
        <v>0</v>
      </c>
      <c r="F73" s="82">
        <f>SUM(F27:F72)</f>
        <v>0</v>
      </c>
      <c r="G73" s="82">
        <f>SUM(G27:G72)</f>
        <v>0</v>
      </c>
      <c r="H73" s="82">
        <f>SUM(H27:H72)</f>
        <v>50000</v>
      </c>
      <c r="I73" s="83"/>
      <c r="J73" s="83"/>
      <c r="K73" s="75" t="s">
        <v>633</v>
      </c>
      <c r="L73" s="76"/>
      <c r="M73" s="82">
        <f>SUM(M27:M72)</f>
        <v>50000</v>
      </c>
      <c r="N73" s="82">
        <f>SUM(N27:N72)</f>
        <v>-50000</v>
      </c>
      <c r="O73" s="82">
        <f>SUM(O27:O72)</f>
        <v>0</v>
      </c>
      <c r="P73" s="82">
        <f>SUM(P27:P72)</f>
        <v>0</v>
      </c>
      <c r="Q73" s="82">
        <f>SUM(Q27:Q72)</f>
        <v>0</v>
      </c>
      <c r="S73" s="75" t="s">
        <v>633</v>
      </c>
      <c r="T73" s="76"/>
      <c r="U73" s="82">
        <f>SUM(U27:U72)</f>
        <v>50000</v>
      </c>
      <c r="V73" s="82">
        <f>SUM(V27:V72)</f>
        <v>1893460</v>
      </c>
      <c r="W73" s="82">
        <f>SUM(W27:W72)</f>
        <v>4534740</v>
      </c>
      <c r="X73" s="82">
        <f>SUM(X27:X72)</f>
        <v>0</v>
      </c>
      <c r="Y73" s="82">
        <f>SUM(Y27:Y72)</f>
        <v>6478200</v>
      </c>
      <c r="AA73" s="75" t="s">
        <v>633</v>
      </c>
      <c r="AB73" s="76"/>
      <c r="AC73" s="82">
        <f>SUM(AC27:AC72)</f>
        <v>50000</v>
      </c>
      <c r="AD73" s="82">
        <f>SUM(AD27:AD72)</f>
        <v>1913110</v>
      </c>
      <c r="AE73" s="82">
        <f>SUM(AE27:AE72)</f>
        <v>4580589.9999999972</v>
      </c>
      <c r="AF73" s="82">
        <f>SUM(AF27:AF72)</f>
        <v>0</v>
      </c>
      <c r="AG73" s="82">
        <f>SUM(AG27:AG72)</f>
        <v>6543699.9999999963</v>
      </c>
      <c r="AI73" s="75" t="s">
        <v>633</v>
      </c>
      <c r="AJ73" s="76"/>
      <c r="AK73" s="82">
        <f>SUM(AK27:AK72)</f>
        <v>50000</v>
      </c>
      <c r="AL73" s="82">
        <f>SUM(AL27:AL72)</f>
        <v>604370</v>
      </c>
      <c r="AM73" s="82">
        <f>SUM(AM27:AM72)</f>
        <v>5889330</v>
      </c>
      <c r="AN73" s="82">
        <f>SUM(AN27:AN72)</f>
        <v>0</v>
      </c>
      <c r="AO73" s="82">
        <f>SUM(AO27:AO72)</f>
        <v>6543700</v>
      </c>
      <c r="AQ73" s="75" t="s">
        <v>633</v>
      </c>
      <c r="AR73" s="76"/>
      <c r="AS73" s="82">
        <f>SUM(AS27:AS72)</f>
        <v>50000</v>
      </c>
      <c r="AT73" s="82">
        <f>SUM(AT27:AT72)</f>
        <v>604370</v>
      </c>
      <c r="AU73" s="82">
        <f>SUM(AU27:AU72)</f>
        <v>2617480</v>
      </c>
      <c r="AV73" s="82">
        <f>SUM(AV27:AV72)</f>
        <v>3271850.0000000009</v>
      </c>
      <c r="AW73" s="82">
        <f>SUM(AW27:AW72)</f>
        <v>6543700</v>
      </c>
      <c r="AY73" s="75" t="s">
        <v>633</v>
      </c>
      <c r="AZ73" s="76"/>
      <c r="BA73" s="82">
        <f>SUM(BA27:BA72)</f>
        <v>50000</v>
      </c>
      <c r="BB73" s="82">
        <f>SUM(BB27:BB72)</f>
        <v>392622</v>
      </c>
      <c r="BC73" s="415">
        <f>SUM(BC27:BC72)</f>
        <v>654370</v>
      </c>
      <c r="BD73" s="82">
        <f>SUM(BD27:BD72)</f>
        <v>5446708</v>
      </c>
      <c r="BE73" s="82">
        <f>SUM(BE27:BE72)</f>
        <v>6543700</v>
      </c>
    </row>
    <row r="74" spans="2:57" ht="19" thickBot="1" x14ac:dyDescent="0.5">
      <c r="Q74" s="18">
        <f>M16-Q73</f>
        <v>0</v>
      </c>
      <c r="Y74" s="18">
        <f>U16-Y73</f>
        <v>0</v>
      </c>
      <c r="AG74" s="18">
        <f>AC16-AG73</f>
        <v>0</v>
      </c>
      <c r="AO74" s="18">
        <f>AK16-AO73</f>
        <v>0</v>
      </c>
      <c r="AW74" s="18">
        <f>AS16-AW73</f>
        <v>0</v>
      </c>
      <c r="BE74" s="18">
        <f>BA16-BE73</f>
        <v>0</v>
      </c>
    </row>
    <row r="75" spans="2:57" ht="19" thickBot="1" x14ac:dyDescent="0.5">
      <c r="E75" s="11"/>
      <c r="F75" s="138" t="s">
        <v>668</v>
      </c>
      <c r="G75" s="139" t="e">
        <f>H75/$C$6</f>
        <v>#DIV/0!</v>
      </c>
      <c r="H75" s="140">
        <f>NPV(10%/12,H28:H72)+H27</f>
        <v>50000</v>
      </c>
      <c r="N75" s="11"/>
      <c r="O75" s="138" t="s">
        <v>668</v>
      </c>
      <c r="P75" s="139" t="e">
        <f>Q75/$C$6</f>
        <v>#DIV/0!</v>
      </c>
      <c r="Q75" s="140">
        <f>NPV(10%/12,Q28:Q72)+Q27</f>
        <v>413.22314049586566</v>
      </c>
      <c r="V75" s="11"/>
      <c r="W75" s="138" t="s">
        <v>668</v>
      </c>
      <c r="X75" s="139" t="e">
        <f>Y75/$C$6</f>
        <v>#DIV/0!</v>
      </c>
      <c r="Y75" s="140">
        <f>NPV(10%/12,Y28:Y72)+Y27</f>
        <v>5892455.0378781417</v>
      </c>
      <c r="AD75" s="11"/>
      <c r="AE75" s="138" t="s">
        <v>668</v>
      </c>
      <c r="AF75" s="139" t="e">
        <f>AG75/$C$6</f>
        <v>#DIV/0!</v>
      </c>
      <c r="AG75" s="140">
        <f>NPV(10%/12,AG28:AG72)+AG27</f>
        <v>5857991.8404899193</v>
      </c>
      <c r="AL75" s="11"/>
      <c r="AM75" s="138" t="s">
        <v>668</v>
      </c>
      <c r="AN75" s="139">
        <f>AO75/$AK$16</f>
        <v>0.90314405048684288</v>
      </c>
      <c r="AO75" s="140">
        <f>NPV(10%/12,AO28:AO72)+AO27</f>
        <v>5909903.7231707536</v>
      </c>
      <c r="AT75" s="11"/>
      <c r="AU75" s="138" t="s">
        <v>668</v>
      </c>
      <c r="AV75" s="139">
        <f>AW75/$AK$16</f>
        <v>0.86039342485012504</v>
      </c>
      <c r="AW75" s="140">
        <f>NPV(10%/12,AW28:AW72)+AW27</f>
        <v>5630156.454191763</v>
      </c>
      <c r="BB75" s="11"/>
      <c r="BC75" s="416" t="s">
        <v>668</v>
      </c>
      <c r="BD75" s="139">
        <f>BE75/$AK$16</f>
        <v>0.83470935396429724</v>
      </c>
      <c r="BE75" s="140">
        <f>NPV(10%/12,BE28:BE72)+BE27</f>
        <v>5462087.5995361721</v>
      </c>
    </row>
    <row r="76" spans="2:57" x14ac:dyDescent="0.45">
      <c r="E76" s="11"/>
      <c r="F76" s="11"/>
      <c r="G76" s="83"/>
      <c r="H76" s="19"/>
      <c r="N76" s="11"/>
      <c r="O76" s="11"/>
      <c r="P76" s="83"/>
      <c r="Q76" s="19"/>
      <c r="V76" s="11"/>
      <c r="W76" s="11"/>
      <c r="X76" s="83"/>
      <c r="Y76" s="19"/>
      <c r="AD76" s="11"/>
      <c r="AE76" s="11"/>
      <c r="AF76" s="83"/>
      <c r="AG76" s="19"/>
      <c r="AL76" s="11"/>
      <c r="AM76" s="11"/>
      <c r="AN76" s="83"/>
      <c r="AO76" s="19"/>
      <c r="AT76" s="11"/>
      <c r="AU76" s="11"/>
      <c r="AV76" s="83"/>
      <c r="AW76" s="19"/>
      <c r="BB76" s="11"/>
      <c r="BC76" s="12"/>
      <c r="BD76" s="83"/>
      <c r="BE76" s="19"/>
    </row>
    <row r="77" spans="2:57" x14ac:dyDescent="0.45">
      <c r="E77" s="159" t="s">
        <v>635</v>
      </c>
      <c r="F77" s="159"/>
      <c r="G77" s="160" t="e">
        <f>G75-P75</f>
        <v>#DIV/0!</v>
      </c>
      <c r="H77" s="161">
        <f>H75-Q75</f>
        <v>49586.776859504134</v>
      </c>
    </row>
    <row r="78" spans="2:57" x14ac:dyDescent="0.45">
      <c r="E78" s="159" t="s">
        <v>909</v>
      </c>
      <c r="F78" s="159"/>
      <c r="G78" s="160" t="e">
        <f>G75-X75</f>
        <v>#DIV/0!</v>
      </c>
      <c r="H78" s="161">
        <f>H75-Y75</f>
        <v>-5842455.0378781417</v>
      </c>
    </row>
    <row r="79" spans="2:57" x14ac:dyDescent="0.45">
      <c r="E79" s="159" t="s">
        <v>910</v>
      </c>
      <c r="F79" s="159"/>
      <c r="G79" s="160" t="e">
        <f>G75-AF75</f>
        <v>#DIV/0!</v>
      </c>
      <c r="H79" s="161">
        <f>H75-AG75</f>
        <v>-5807991.8404899193</v>
      </c>
    </row>
    <row r="80" spans="2:57" x14ac:dyDescent="0.45">
      <c r="E80" s="159" t="s">
        <v>745</v>
      </c>
      <c r="F80" s="159"/>
      <c r="G80" s="160" t="e">
        <f>G75-AN75</f>
        <v>#DIV/0!</v>
      </c>
      <c r="H80" s="161">
        <f>H75-AO75</f>
        <v>-5859903.7231707536</v>
      </c>
    </row>
    <row r="81" spans="2:51" x14ac:dyDescent="0.45">
      <c r="B81" s="455"/>
      <c r="E81" s="159" t="s">
        <v>925</v>
      </c>
      <c r="F81" s="159"/>
      <c r="G81" s="160" t="e">
        <f>G75-AV75</f>
        <v>#DIV/0!</v>
      </c>
      <c r="H81" s="161">
        <f>H75-AW75</f>
        <v>-5580156.454191763</v>
      </c>
      <c r="K81" s="455"/>
      <c r="S81" s="455"/>
      <c r="AA81" s="455"/>
      <c r="AI81" s="455"/>
    </row>
    <row r="82" spans="2:51" x14ac:dyDescent="0.45">
      <c r="B82" s="455"/>
      <c r="E82" s="159" t="s">
        <v>931</v>
      </c>
      <c r="F82" s="159"/>
      <c r="G82" s="160" t="e">
        <f>G75-BD75</f>
        <v>#DIV/0!</v>
      </c>
      <c r="H82" s="161">
        <f>H75-BE75</f>
        <v>-5412087.5995361721</v>
      </c>
      <c r="K82" s="455"/>
      <c r="S82" s="455"/>
      <c r="AA82" s="455"/>
      <c r="AI82" s="455"/>
    </row>
    <row r="83" spans="2:51" x14ac:dyDescent="0.45">
      <c r="B83" s="85" t="s">
        <v>639</v>
      </c>
      <c r="G83" s="87"/>
      <c r="H83" s="18"/>
    </row>
    <row r="84" spans="2:51" x14ac:dyDescent="0.45">
      <c r="B84" s="84"/>
      <c r="G84" s="87"/>
      <c r="H84" s="18"/>
    </row>
    <row r="85" spans="2:51" x14ac:dyDescent="0.45">
      <c r="B85" s="396"/>
    </row>
    <row r="86" spans="2:51" x14ac:dyDescent="0.45">
      <c r="B86" s="311" t="s">
        <v>636</v>
      </c>
      <c r="C86" s="311" t="s">
        <v>812</v>
      </c>
      <c r="D86" s="312" t="s">
        <v>813</v>
      </c>
      <c r="E86" s="311" t="s">
        <v>669</v>
      </c>
      <c r="K86" s="85"/>
      <c r="S86" s="85"/>
      <c r="AA86" s="85"/>
      <c r="AI86" s="85"/>
      <c r="AQ86" s="85"/>
      <c r="AY86" s="85"/>
    </row>
    <row r="87" spans="2:51" x14ac:dyDescent="0.45">
      <c r="B87" s="396"/>
      <c r="E87" s="396"/>
    </row>
    <row r="88" spans="2:51" x14ac:dyDescent="0.45">
      <c r="B88" s="313" t="s">
        <v>814</v>
      </c>
      <c r="C88" s="313" t="s">
        <v>819</v>
      </c>
      <c r="D88" s="313" t="s">
        <v>815</v>
      </c>
      <c r="E88" s="313" t="s">
        <v>670</v>
      </c>
    </row>
    <row r="89" spans="2:51" x14ac:dyDescent="0.45">
      <c r="B89" s="314" t="s">
        <v>816</v>
      </c>
      <c r="C89" s="315" t="s">
        <v>820</v>
      </c>
      <c r="D89" s="316" t="s">
        <v>817</v>
      </c>
      <c r="E89" s="316" t="s">
        <v>818</v>
      </c>
      <c r="K89" s="86"/>
      <c r="S89" s="86"/>
      <c r="AA89" s="86"/>
      <c r="AI89" s="86"/>
      <c r="AQ89" s="86"/>
      <c r="AY89" s="86"/>
    </row>
  </sheetData>
  <mergeCells count="15">
    <mergeCell ref="K20:Q20"/>
    <mergeCell ref="S20:Y20"/>
    <mergeCell ref="B18:H18"/>
    <mergeCell ref="K18:Q18"/>
    <mergeCell ref="S18:Y18"/>
    <mergeCell ref="C2:D2"/>
    <mergeCell ref="C3:D3"/>
    <mergeCell ref="C4:D4"/>
    <mergeCell ref="C5:D5"/>
    <mergeCell ref="C6:D6"/>
    <mergeCell ref="AQ18:AW18"/>
    <mergeCell ref="AY18:BE18"/>
    <mergeCell ref="AA20:AG20"/>
    <mergeCell ref="AA18:AG18"/>
    <mergeCell ref="AI18:AO18"/>
  </mergeCells>
  <conditionalFormatting sqref="C17:D17 L17:M17 T17:U17 AJ17:AK17 C5:D7">
    <cfRule type="expression" dxfId="170" priority="40">
      <formula>$C$5=0</formula>
    </cfRule>
  </conditionalFormatting>
  <conditionalFormatting sqref="C2:D2">
    <cfRule type="expression" dxfId="169" priority="39">
      <formula>$C$2=0</formula>
    </cfRule>
  </conditionalFormatting>
  <conditionalFormatting sqref="D9:D10">
    <cfRule type="expression" dxfId="168" priority="37">
      <formula>$D$9=0</formula>
    </cfRule>
  </conditionalFormatting>
  <conditionalFormatting sqref="D14">
    <cfRule type="expression" dxfId="167" priority="36">
      <formula>$D$14=0</formula>
    </cfRule>
  </conditionalFormatting>
  <conditionalFormatting sqref="D15">
    <cfRule type="expression" dxfId="166" priority="35">
      <formula>$D$15=0</formula>
    </cfRule>
  </conditionalFormatting>
  <conditionalFormatting sqref="AK15">
    <cfRule type="expression" dxfId="165" priority="20">
      <formula>$D$15=0</formula>
    </cfRule>
  </conditionalFormatting>
  <conditionalFormatting sqref="L5:M7">
    <cfRule type="expression" dxfId="164" priority="34">
      <formula>$C$5=0</formula>
    </cfRule>
  </conditionalFormatting>
  <conditionalFormatting sqref="L2:M2">
    <cfRule type="expression" dxfId="163" priority="33">
      <formula>$C$2=0</formula>
    </cfRule>
  </conditionalFormatting>
  <conditionalFormatting sqref="T5:U7">
    <cfRule type="expression" dxfId="162" priority="29">
      <formula>$C$5=0</formula>
    </cfRule>
  </conditionalFormatting>
  <conditionalFormatting sqref="T2:U2">
    <cfRule type="expression" dxfId="161" priority="28">
      <formula>$C$2=0</formula>
    </cfRule>
  </conditionalFormatting>
  <conditionalFormatting sqref="U14">
    <cfRule type="expression" dxfId="160" priority="26">
      <formula>$D$14=0</formula>
    </cfRule>
  </conditionalFormatting>
  <conditionalFormatting sqref="U15">
    <cfRule type="expression" dxfId="159" priority="25">
      <formula>$D$15=0</formula>
    </cfRule>
  </conditionalFormatting>
  <conditionalFormatting sqref="AJ5:AK7">
    <cfRule type="expression" dxfId="158" priority="24">
      <formula>$C$5=0</formula>
    </cfRule>
  </conditionalFormatting>
  <conditionalFormatting sqref="AJ2:AK2">
    <cfRule type="expression" dxfId="157" priority="23">
      <formula>$C$2=0</formula>
    </cfRule>
  </conditionalFormatting>
  <conditionalFormatting sqref="AK9:AK10">
    <cfRule type="expression" dxfId="156" priority="22">
      <formula>$D$9=0</formula>
    </cfRule>
  </conditionalFormatting>
  <conditionalFormatting sqref="AK14">
    <cfRule type="expression" dxfId="155" priority="21">
      <formula>$D$14=0</formula>
    </cfRule>
  </conditionalFormatting>
  <conditionalFormatting sqref="M14">
    <cfRule type="expression" dxfId="154" priority="19">
      <formula>$D$13=0</formula>
    </cfRule>
  </conditionalFormatting>
  <conditionalFormatting sqref="M15">
    <cfRule type="expression" dxfId="153" priority="18">
      <formula>$D$14=0</formula>
    </cfRule>
  </conditionalFormatting>
  <conditionalFormatting sqref="AC15">
    <cfRule type="expression" dxfId="152" priority="13">
      <formula>$D$15=0</formula>
    </cfRule>
  </conditionalFormatting>
  <conditionalFormatting sqref="AB17:AC17">
    <cfRule type="expression" dxfId="151" priority="17">
      <formula>$C$5=0</formula>
    </cfRule>
  </conditionalFormatting>
  <conditionalFormatting sqref="AB5:AC7">
    <cfRule type="expression" dxfId="150" priority="16">
      <formula>$C$5=0</formula>
    </cfRule>
  </conditionalFormatting>
  <conditionalFormatting sqref="AB2:AC2">
    <cfRule type="expression" dxfId="149" priority="15">
      <formula>$C$2=0</formula>
    </cfRule>
  </conditionalFormatting>
  <conditionalFormatting sqref="AC14">
    <cfRule type="expression" dxfId="148" priority="14">
      <formula>$D$14=0</formula>
    </cfRule>
  </conditionalFormatting>
  <conditionalFormatting sqref="AR17:AS17">
    <cfRule type="expression" dxfId="147" priority="12">
      <formula>$C$5=0</formula>
    </cfRule>
  </conditionalFormatting>
  <conditionalFormatting sqref="AS15">
    <cfRule type="expression" dxfId="146" priority="7">
      <formula>$D$15=0</formula>
    </cfRule>
  </conditionalFormatting>
  <conditionalFormatting sqref="AR5:AS7">
    <cfRule type="expression" dxfId="145" priority="11">
      <formula>$C$5=0</formula>
    </cfRule>
  </conditionalFormatting>
  <conditionalFormatting sqref="AR2:AS2">
    <cfRule type="expression" dxfId="144" priority="10">
      <formula>$C$2=0</formula>
    </cfRule>
  </conditionalFormatting>
  <conditionalFormatting sqref="AS9:AS10">
    <cfRule type="expression" dxfId="143" priority="9">
      <formula>$D$9=0</formula>
    </cfRule>
  </conditionalFormatting>
  <conditionalFormatting sqref="AS14">
    <cfRule type="expression" dxfId="142" priority="8">
      <formula>$D$14=0</formula>
    </cfRule>
  </conditionalFormatting>
  <conditionalFormatting sqref="AZ17:BA17">
    <cfRule type="expression" dxfId="141" priority="6">
      <formula>$C$5=0</formula>
    </cfRule>
  </conditionalFormatting>
  <conditionalFormatting sqref="BA15">
    <cfRule type="expression" dxfId="140" priority="1">
      <formula>$D$15=0</formula>
    </cfRule>
  </conditionalFormatting>
  <conditionalFormatting sqref="AZ5:BA7">
    <cfRule type="expression" dxfId="139" priority="5">
      <formula>$C$5=0</formula>
    </cfRule>
  </conditionalFormatting>
  <conditionalFormatting sqref="AZ2:BA2">
    <cfRule type="expression" dxfId="138" priority="4">
      <formula>$C$2=0</formula>
    </cfRule>
  </conditionalFormatting>
  <conditionalFormatting sqref="BA9:BA10">
    <cfRule type="expression" dxfId="137" priority="3">
      <formula>$D$9=0</formula>
    </cfRule>
  </conditionalFormatting>
  <conditionalFormatting sqref="BA14">
    <cfRule type="expression" dxfId="136" priority="2">
      <formula>$D$14=0</formula>
    </cfRule>
  </conditionalFormatting>
  <pageMargins left="0.7" right="0.7" top="0.75" bottom="0.75" header="0.3" footer="0.3"/>
  <pageSetup paperSize="8" scale="1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O181"/>
  <sheetViews>
    <sheetView showGridLines="0" view="pageBreakPreview" zoomScale="49" zoomScaleNormal="100" zoomScaleSheetLayoutView="55" workbookViewId="0">
      <selection activeCell="C179" sqref="C179:G179"/>
    </sheetView>
  </sheetViews>
  <sheetFormatPr defaultColWidth="21.453125" defaultRowHeight="18.5" x14ac:dyDescent="0.45"/>
  <cols>
    <col min="1" max="1" width="3.1796875" style="8" customWidth="1"/>
    <col min="2" max="2" width="31.81640625" style="8" customWidth="1"/>
    <col min="3" max="3" width="47.453125" style="8" customWidth="1"/>
    <col min="4" max="4" width="11.26953125" style="16" bestFit="1" customWidth="1"/>
    <col min="5" max="5" width="37" style="9" customWidth="1"/>
    <col min="6" max="6" width="21.1796875" style="8" bestFit="1" customWidth="1"/>
    <col min="7" max="7" width="23.54296875" style="187" customWidth="1"/>
    <col min="8" max="16384" width="21.453125" style="8"/>
  </cols>
  <sheetData>
    <row r="1" spans="2:7" ht="9.75" customHeight="1" x14ac:dyDescent="0.45"/>
    <row r="2" spans="2:7" x14ac:dyDescent="0.45">
      <c r="B2" s="8" t="s">
        <v>575</v>
      </c>
      <c r="C2" s="103">
        <f>Input!D4</f>
        <v>0</v>
      </c>
    </row>
    <row r="3" spans="2:7" x14ac:dyDescent="0.45">
      <c r="B3" s="8" t="s">
        <v>595</v>
      </c>
      <c r="C3" s="104">
        <f>Input!D6</f>
        <v>0</v>
      </c>
    </row>
    <row r="4" spans="2:7" x14ac:dyDescent="0.45">
      <c r="B4" s="8" t="s">
        <v>3</v>
      </c>
      <c r="C4" s="104" t="str">
        <f>Input!D7</f>
        <v>The Arborage</v>
      </c>
    </row>
    <row r="5" spans="2:7" x14ac:dyDescent="0.45">
      <c r="B5" s="8" t="s">
        <v>576</v>
      </c>
      <c r="C5" s="105" t="str">
        <f>Input!D8</f>
        <v>B-B2-L10</v>
      </c>
    </row>
    <row r="6" spans="2:7" x14ac:dyDescent="0.45">
      <c r="B6" s="8" t="s">
        <v>577</v>
      </c>
      <c r="C6" s="106">
        <f>Input!D10</f>
        <v>168</v>
      </c>
    </row>
    <row r="7" spans="2:7" x14ac:dyDescent="0.45">
      <c r="B7" s="8" t="str">
        <f>IF(OR(Input!D9="House and Lot",Input!D9="Horizontal Condominium"),"House Area:","")</f>
        <v/>
      </c>
      <c r="C7" s="107">
        <f>Input!D11</f>
        <v>0</v>
      </c>
    </row>
    <row r="8" spans="2:7" x14ac:dyDescent="0.45">
      <c r="B8" s="10" t="s">
        <v>578</v>
      </c>
      <c r="C8" s="10">
        <f ca="1">TODAY()</f>
        <v>44061</v>
      </c>
    </row>
    <row r="9" spans="2:7" x14ac:dyDescent="0.45">
      <c r="B9" s="10"/>
      <c r="C9" s="10"/>
    </row>
    <row r="10" spans="2:7" ht="9.65" customHeight="1" x14ac:dyDescent="0.45"/>
    <row r="11" spans="2:7" x14ac:dyDescent="0.45">
      <c r="B11" s="511" t="str">
        <f>IF(Input!E8="B-","PAYMENT TERM NOT AVAILABLE FOR THIS PROPERTY","CASH 30 days (with "&amp;Input!F4*100&amp;"% Discount)")</f>
        <v>PAYMENT TERM NOT AVAILABLE FOR THIS PROPERTY</v>
      </c>
      <c r="C11" s="511"/>
      <c r="D11" s="511"/>
      <c r="E11" s="511"/>
      <c r="F11" s="511"/>
      <c r="G11" s="511"/>
    </row>
    <row r="12" spans="2:7" ht="9.75" customHeight="1" x14ac:dyDescent="0.45"/>
    <row r="13" spans="2:7" ht="20.149999999999999" customHeight="1" x14ac:dyDescent="0.45">
      <c r="E13" s="125" t="s">
        <v>579</v>
      </c>
      <c r="F13" s="126" t="s">
        <v>655</v>
      </c>
    </row>
    <row r="14" spans="2:7" s="11" customFormat="1" x14ac:dyDescent="0.45">
      <c r="C14" s="11" t="s">
        <v>900</v>
      </c>
      <c r="D14" s="17">
        <v>0</v>
      </c>
      <c r="E14" s="12">
        <f>IF(B11="PAYMENT TERM NOT AVAILABLE FOR THIS PROPERTY",D14,Input!D12)</f>
        <v>0</v>
      </c>
      <c r="F14" s="217">
        <f>E14/50</f>
        <v>0</v>
      </c>
      <c r="G14" s="427"/>
    </row>
    <row r="15" spans="2:7" s="24" customFormat="1" x14ac:dyDescent="0.45">
      <c r="C15" s="148" t="str">
        <f>IF(D15&gt;0,"Less "&amp;D15*100&amp;"% Discount:","")</f>
        <v>Less 9% Discount:</v>
      </c>
      <c r="D15" s="21">
        <v>0.09</v>
      </c>
      <c r="E15" s="481">
        <f>D15*E14</f>
        <v>0</v>
      </c>
      <c r="F15" s="217">
        <f t="shared" ref="F15:F28" si="0">E15/50</f>
        <v>0</v>
      </c>
      <c r="G15" s="432"/>
    </row>
    <row r="16" spans="2:7" s="11" customFormat="1" hidden="1" x14ac:dyDescent="0.45">
      <c r="C16" s="11" t="s">
        <v>902</v>
      </c>
      <c r="D16" s="17"/>
      <c r="E16" s="127">
        <f>E14-E15</f>
        <v>0</v>
      </c>
      <c r="F16" s="431">
        <f t="shared" si="0"/>
        <v>0</v>
      </c>
      <c r="G16" s="435"/>
    </row>
    <row r="17" spans="2:7" s="24" customFormat="1" hidden="1" x14ac:dyDescent="0.45">
      <c r="C17" s="148" t="s">
        <v>899</v>
      </c>
      <c r="D17" s="21"/>
      <c r="E17" s="149"/>
      <c r="F17" s="217">
        <f t="shared" si="0"/>
        <v>0</v>
      </c>
      <c r="G17" s="423"/>
    </row>
    <row r="18" spans="2:7" s="11" customFormat="1" x14ac:dyDescent="0.45">
      <c r="C18" s="11" t="s">
        <v>584</v>
      </c>
      <c r="D18" s="17"/>
      <c r="E18" s="127">
        <f>E16-E17</f>
        <v>0</v>
      </c>
      <c r="F18" s="431">
        <f t="shared" si="0"/>
        <v>0</v>
      </c>
      <c r="G18" s="435"/>
    </row>
    <row r="19" spans="2:7" x14ac:dyDescent="0.45">
      <c r="C19" s="115" t="s">
        <v>592</v>
      </c>
      <c r="D19" s="22">
        <v>0.12</v>
      </c>
      <c r="E19" s="146">
        <f>E18*D19</f>
        <v>0</v>
      </c>
      <c r="F19" s="217">
        <f t="shared" si="0"/>
        <v>0</v>
      </c>
      <c r="G19" s="433"/>
    </row>
    <row r="20" spans="2:7" x14ac:dyDescent="0.45">
      <c r="C20" s="115" t="s">
        <v>593</v>
      </c>
      <c r="D20" s="15"/>
      <c r="E20" s="146">
        <f>E18*4%</f>
        <v>0</v>
      </c>
      <c r="F20" s="217">
        <f t="shared" si="0"/>
        <v>0</v>
      </c>
      <c r="G20" s="433"/>
    </row>
    <row r="21" spans="2:7" x14ac:dyDescent="0.45">
      <c r="C21" s="115" t="str">
        <f>IF(Input!$D$13&gt;0,"Improvement Cost:","")</f>
        <v/>
      </c>
      <c r="E21" s="146">
        <f>Input!$D$13</f>
        <v>0</v>
      </c>
      <c r="F21" s="217">
        <f t="shared" si="0"/>
        <v>0</v>
      </c>
      <c r="G21" s="433"/>
    </row>
    <row r="22" spans="2:7" x14ac:dyDescent="0.45">
      <c r="C22" s="148" t="str">
        <f>IF(Input!$D$13&gt;0,"Less "&amp;D22*100&amp;"% Improvement Cost Discount:","")</f>
        <v/>
      </c>
      <c r="D22" s="21">
        <f>IF(Input!$D$13&gt;0,Input!$F$5,0)</f>
        <v>0</v>
      </c>
      <c r="E22" s="480">
        <f>E21*D22</f>
        <v>0</v>
      </c>
      <c r="F22" s="217">
        <f t="shared" si="0"/>
        <v>0</v>
      </c>
      <c r="G22" s="433"/>
    </row>
    <row r="23" spans="2:7" s="24" customFormat="1" x14ac:dyDescent="0.45">
      <c r="C23" s="148" t="s">
        <v>932</v>
      </c>
      <c r="D23" s="21"/>
      <c r="E23" s="481">
        <f>IF($B$11="PAYMENT TERM NOT AVAILABLE FOR THIS PROPERTY",D14,25000)</f>
        <v>0</v>
      </c>
      <c r="F23" s="217">
        <f t="shared" si="0"/>
        <v>0</v>
      </c>
      <c r="G23" s="432"/>
    </row>
    <row r="24" spans="2:7" s="11" customFormat="1" x14ac:dyDescent="0.45">
      <c r="C24" s="11" t="s">
        <v>580</v>
      </c>
      <c r="D24" s="17"/>
      <c r="E24" s="127">
        <f>ROUND(E18+E19+E20+E21-E22-E23,-2)</f>
        <v>0</v>
      </c>
      <c r="F24" s="220">
        <f t="shared" si="0"/>
        <v>0</v>
      </c>
      <c r="G24" s="435"/>
    </row>
    <row r="25" spans="2:7" ht="9.75" customHeight="1" x14ac:dyDescent="0.45">
      <c r="E25" s="122"/>
      <c r="F25" s="217"/>
    </row>
    <row r="26" spans="2:7" x14ac:dyDescent="0.45">
      <c r="C26" s="8" t="s">
        <v>597</v>
      </c>
      <c r="E26" s="122">
        <f>E24</f>
        <v>0</v>
      </c>
      <c r="F26" s="217">
        <f t="shared" si="0"/>
        <v>0</v>
      </c>
    </row>
    <row r="27" spans="2:7" s="23" customFormat="1" x14ac:dyDescent="0.45">
      <c r="C27" s="115" t="s">
        <v>581</v>
      </c>
      <c r="D27" s="215">
        <v>25000</v>
      </c>
      <c r="E27" s="122">
        <f>IF($B$11="PAYMENT TERM NOT AVAILABLE FOR THIS PROPERTY",D14,D27)</f>
        <v>0</v>
      </c>
      <c r="F27" s="217">
        <f t="shared" si="0"/>
        <v>0</v>
      </c>
      <c r="G27" s="436"/>
    </row>
    <row r="28" spans="2:7" s="11" customFormat="1" x14ac:dyDescent="0.45">
      <c r="C28" s="11" t="s">
        <v>596</v>
      </c>
      <c r="D28" s="17"/>
      <c r="E28" s="127">
        <f>E26-E27</f>
        <v>0</v>
      </c>
      <c r="F28" s="220">
        <f t="shared" si="0"/>
        <v>0</v>
      </c>
      <c r="G28" s="427"/>
    </row>
    <row r="29" spans="2:7" x14ac:dyDescent="0.45">
      <c r="C29" s="117" t="s">
        <v>897</v>
      </c>
    </row>
    <row r="30" spans="2:7" ht="9.65" customHeight="1" x14ac:dyDescent="0.45"/>
    <row r="31" spans="2:7" hidden="1" x14ac:dyDescent="0.45">
      <c r="B31" s="511" t="str">
        <f>IF(Input!E8="B-","PAYMENT TERM NOT AVAILABLE FOR THIS PROPERTY","30% DP / 70% over 30 months (with "&amp;Input!F6*100&amp;"% Discount)")</f>
        <v>PAYMENT TERM NOT AVAILABLE FOR THIS PROPERTY</v>
      </c>
      <c r="C31" s="511"/>
      <c r="D31" s="511"/>
      <c r="E31" s="511"/>
      <c r="F31" s="511"/>
      <c r="G31" s="511"/>
    </row>
    <row r="32" spans="2:7" ht="9.75" hidden="1" customHeight="1" x14ac:dyDescent="0.45"/>
    <row r="33" spans="3:7" hidden="1" x14ac:dyDescent="0.45">
      <c r="E33" s="125" t="s">
        <v>579</v>
      </c>
      <c r="F33" s="126" t="s">
        <v>655</v>
      </c>
    </row>
    <row r="34" spans="3:7" s="11" customFormat="1" hidden="1" x14ac:dyDescent="0.45">
      <c r="C34" s="11" t="s">
        <v>583</v>
      </c>
      <c r="D34" s="17"/>
      <c r="E34" s="12">
        <f>E14</f>
        <v>0</v>
      </c>
      <c r="F34" s="217">
        <f>E34/50</f>
        <v>0</v>
      </c>
      <c r="G34" s="427"/>
    </row>
    <row r="35" spans="3:7" s="24" customFormat="1" hidden="1" x14ac:dyDescent="0.45">
      <c r="C35" s="148" t="str">
        <f>IF(D35&gt;0,"Less "&amp;D35*100&amp;"% Discount:","")</f>
        <v>Less 1% Discount:</v>
      </c>
      <c r="D35" s="26">
        <f>Input!F6</f>
        <v>0.01</v>
      </c>
      <c r="E35" s="482">
        <f>D35*E34</f>
        <v>0</v>
      </c>
      <c r="F35" s="218">
        <f t="shared" ref="F35:F52" si="1">E35/50</f>
        <v>0</v>
      </c>
      <c r="G35" s="432"/>
    </row>
    <row r="36" spans="3:7" s="24" customFormat="1" hidden="1" x14ac:dyDescent="0.45">
      <c r="C36" s="116" t="str">
        <f>IF(D36&gt;0,"Less "&amp;D36*100&amp;"% Discount:","")</f>
        <v/>
      </c>
      <c r="D36" s="26">
        <v>0</v>
      </c>
      <c r="E36" s="102">
        <f>D36*(E34-E35)</f>
        <v>0</v>
      </c>
      <c r="F36" s="217">
        <f t="shared" si="1"/>
        <v>0</v>
      </c>
      <c r="G36" s="432"/>
    </row>
    <row r="37" spans="3:7" s="24" customFormat="1" hidden="1" x14ac:dyDescent="0.45">
      <c r="C37" s="116" t="str">
        <f>IF(D37&gt;0,"Less "&amp;D37*100&amp;"% Discount:","")</f>
        <v/>
      </c>
      <c r="D37" s="26">
        <v>0</v>
      </c>
      <c r="E37" s="25">
        <f>D37*(E34-E35-E36)</f>
        <v>0</v>
      </c>
      <c r="F37" s="217">
        <f t="shared" si="1"/>
        <v>0</v>
      </c>
      <c r="G37" s="432"/>
    </row>
    <row r="38" spans="3:7" hidden="1" x14ac:dyDescent="0.45">
      <c r="C38" s="187" t="s">
        <v>584</v>
      </c>
      <c r="E38" s="114">
        <f>E34-E35-E36-E37</f>
        <v>0</v>
      </c>
      <c r="F38" s="217">
        <f t="shared" si="1"/>
        <v>0</v>
      </c>
    </row>
    <row r="39" spans="3:7" hidden="1" x14ac:dyDescent="0.45">
      <c r="C39" s="115" t="s">
        <v>592</v>
      </c>
      <c r="D39" s="22">
        <v>0.12</v>
      </c>
      <c r="E39" s="146">
        <f>E38*D39</f>
        <v>0</v>
      </c>
      <c r="F39" s="219">
        <f t="shared" si="1"/>
        <v>0</v>
      </c>
    </row>
    <row r="40" spans="3:7" hidden="1" x14ac:dyDescent="0.45">
      <c r="C40" s="115" t="s">
        <v>593</v>
      </c>
      <c r="D40" s="15"/>
      <c r="E40" s="146">
        <f>E38*4%</f>
        <v>0</v>
      </c>
      <c r="F40" s="219">
        <f t="shared" si="1"/>
        <v>0</v>
      </c>
    </row>
    <row r="41" spans="3:7" hidden="1" x14ac:dyDescent="0.45">
      <c r="C41" s="115" t="str">
        <f>IF(Input!$D$13&gt;0,"Improvement Cost:","")</f>
        <v/>
      </c>
      <c r="E41" s="146">
        <f>Input!$D$13</f>
        <v>0</v>
      </c>
      <c r="F41" s="219">
        <f t="shared" si="1"/>
        <v>0</v>
      </c>
    </row>
    <row r="42" spans="3:7" s="24" customFormat="1" hidden="1" x14ac:dyDescent="0.45">
      <c r="C42" s="148" t="str">
        <f>IF(Input!$D$13&gt;0,"Less "&amp;D42*100&amp;"% Improvement Cost Discount:","")</f>
        <v/>
      </c>
      <c r="D42" s="21">
        <f>IF(Input!$D$13&gt;0,Input!$F$5,0)</f>
        <v>0</v>
      </c>
      <c r="E42" s="480">
        <f>E41*D42</f>
        <v>0</v>
      </c>
      <c r="F42" s="219">
        <f t="shared" si="1"/>
        <v>0</v>
      </c>
      <c r="G42" s="432"/>
    </row>
    <row r="43" spans="3:7" s="24" customFormat="1" hidden="1" x14ac:dyDescent="0.45">
      <c r="C43" s="148" t="s">
        <v>932</v>
      </c>
      <c r="D43" s="21"/>
      <c r="E43" s="481">
        <f>IF($B$11="PAYMENT TERM NOT AVAILABLE FOR THIS PROPERTY",D34,25000)</f>
        <v>0</v>
      </c>
      <c r="F43" s="219">
        <f t="shared" si="1"/>
        <v>0</v>
      </c>
      <c r="G43" s="432"/>
    </row>
    <row r="44" spans="3:7" s="11" customFormat="1" hidden="1" x14ac:dyDescent="0.45">
      <c r="C44" s="11" t="s">
        <v>580</v>
      </c>
      <c r="D44" s="17"/>
      <c r="E44" s="213">
        <f>ROUND(E38+E39+E40+E41-E42-E43,-2)</f>
        <v>0</v>
      </c>
      <c r="F44" s="220">
        <f t="shared" si="1"/>
        <v>0</v>
      </c>
      <c r="G44" s="427"/>
    </row>
    <row r="45" spans="3:7" ht="9.75" hidden="1" customHeight="1" x14ac:dyDescent="0.45">
      <c r="F45" s="217"/>
    </row>
    <row r="46" spans="3:7" hidden="1" x14ac:dyDescent="0.45">
      <c r="C46" s="216" t="str">
        <f>D46*100&amp;"% Downpayment:"</f>
        <v>30% Downpayment:</v>
      </c>
      <c r="D46" s="15">
        <v>0.3</v>
      </c>
      <c r="E46" s="9">
        <f>D46*E44</f>
        <v>0</v>
      </c>
      <c r="F46" s="217">
        <f t="shared" si="1"/>
        <v>0</v>
      </c>
    </row>
    <row r="47" spans="3:7" s="23" customFormat="1" hidden="1" x14ac:dyDescent="0.45">
      <c r="C47" s="208" t="s">
        <v>581</v>
      </c>
      <c r="D47" s="215"/>
      <c r="E47" s="211">
        <f>E27</f>
        <v>0</v>
      </c>
      <c r="F47" s="218">
        <f t="shared" si="1"/>
        <v>0</v>
      </c>
      <c r="G47" s="436"/>
    </row>
    <row r="48" spans="3:7" s="11" customFormat="1" hidden="1" x14ac:dyDescent="0.45">
      <c r="C48" s="11" t="s">
        <v>596</v>
      </c>
      <c r="D48" s="17"/>
      <c r="E48" s="12">
        <f>E46-E47</f>
        <v>0</v>
      </c>
      <c r="F48" s="217">
        <f t="shared" si="1"/>
        <v>0</v>
      </c>
      <c r="G48" s="427"/>
    </row>
    <row r="49" spans="2:8" hidden="1" x14ac:dyDescent="0.45">
      <c r="C49" s="13" t="s">
        <v>585</v>
      </c>
      <c r="F49" s="217"/>
    </row>
    <row r="50" spans="2:8" ht="9.75" hidden="1" customHeight="1" x14ac:dyDescent="0.45">
      <c r="F50" s="217"/>
    </row>
    <row r="51" spans="2:8" hidden="1" x14ac:dyDescent="0.45">
      <c r="C51" s="8" t="str">
        <f>D51*100&amp;"% Amortization:"</f>
        <v>70% Amortization:</v>
      </c>
      <c r="D51" s="15">
        <v>0.7</v>
      </c>
      <c r="E51" s="9">
        <f>D51*E44</f>
        <v>0</v>
      </c>
      <c r="F51" s="217">
        <f t="shared" si="1"/>
        <v>0</v>
      </c>
      <c r="H51" s="18"/>
    </row>
    <row r="52" spans="2:8" s="11" customFormat="1" hidden="1" x14ac:dyDescent="0.45">
      <c r="C52" s="11" t="str">
        <f>"Payable* per month in "&amp;D52&amp;" months"</f>
        <v>Payable* per month in 30 months</v>
      </c>
      <c r="D52" s="17">
        <v>30</v>
      </c>
      <c r="E52" s="133">
        <f>(E51/30)</f>
        <v>0</v>
      </c>
      <c r="F52" s="217">
        <f t="shared" si="1"/>
        <v>0</v>
      </c>
      <c r="G52" s="435"/>
      <c r="H52" s="19"/>
    </row>
    <row r="53" spans="2:8" ht="9.75" hidden="1" customHeight="1" x14ac:dyDescent="0.45"/>
    <row r="54" spans="2:8" x14ac:dyDescent="0.45">
      <c r="B54" s="512" t="str">
        <f>IF(Input!E8="B-","PAYMENT TERM NOT AVAILABLE FOR THIS PROPERTY",IF(OR(Input!D7="Sunshine Place",Input!D7="West Parc",Input!D7="Woodmore Spring",Input!D7="Meridien"),"25% DP / 25% over 18 months / 50% Lumpsum",IF(Input!D7="Prominence II","10% DP / 10% over 12 months / 80% Lumpsum","20% DP / 40% over 18 months / 40% Lumpsum")))</f>
        <v>PAYMENT TERM NOT AVAILABLE FOR THIS PROPERTY</v>
      </c>
      <c r="C54" s="512"/>
      <c r="D54" s="512"/>
      <c r="E54" s="512"/>
      <c r="F54" s="512"/>
      <c r="G54" s="512"/>
    </row>
    <row r="55" spans="2:8" ht="18" customHeight="1" x14ac:dyDescent="0.45">
      <c r="E55" s="125" t="s">
        <v>579</v>
      </c>
      <c r="F55" s="126" t="s">
        <v>655</v>
      </c>
    </row>
    <row r="56" spans="2:8" s="11" customFormat="1" x14ac:dyDescent="0.45">
      <c r="C56" s="11" t="s">
        <v>583</v>
      </c>
      <c r="D56" s="17"/>
      <c r="E56" s="479">
        <f>E14</f>
        <v>0</v>
      </c>
      <c r="F56" s="218">
        <f>E56/50</f>
        <v>0</v>
      </c>
      <c r="G56" s="427"/>
    </row>
    <row r="57" spans="2:8" s="11" customFormat="1" hidden="1" x14ac:dyDescent="0.45">
      <c r="C57" s="11" t="str">
        <f>IF(D57&gt;0,"Less "&amp;D57*100&amp;"% Discount:","")</f>
        <v/>
      </c>
      <c r="D57" s="17">
        <v>0</v>
      </c>
      <c r="E57" s="296">
        <f>D57*E56</f>
        <v>0</v>
      </c>
      <c r="F57" s="219">
        <f t="shared" ref="F57:F63" si="2">E57/50</f>
        <v>0</v>
      </c>
      <c r="G57" s="427"/>
    </row>
    <row r="58" spans="2:8" s="24" customFormat="1" hidden="1" x14ac:dyDescent="0.45">
      <c r="C58" s="148" t="str">
        <f>IF(D58&gt;0,"Less "&amp;D58*100&amp;"% Discount:","")</f>
        <v/>
      </c>
      <c r="D58" s="21">
        <v>0</v>
      </c>
      <c r="E58" s="149">
        <f>D58*(E56-E57)</f>
        <v>0</v>
      </c>
      <c r="F58" s="219">
        <f t="shared" si="2"/>
        <v>0</v>
      </c>
      <c r="G58" s="423"/>
    </row>
    <row r="59" spans="2:8" s="11" customFormat="1" hidden="1" x14ac:dyDescent="0.45">
      <c r="C59" s="427" t="str">
        <f>IF(D59&gt;0,"Less "&amp;D59*100&amp;"% Discount:","")</f>
        <v/>
      </c>
      <c r="D59" s="17">
        <v>0</v>
      </c>
      <c r="E59" s="213">
        <f>D59*(E56-E57-E58)</f>
        <v>0</v>
      </c>
      <c r="F59" s="431">
        <f t="shared" si="2"/>
        <v>0</v>
      </c>
      <c r="G59" s="427"/>
    </row>
    <row r="60" spans="2:8" s="11" customFormat="1" x14ac:dyDescent="0.45">
      <c r="C60" s="11" t="s">
        <v>584</v>
      </c>
      <c r="D60" s="17"/>
      <c r="E60" s="296">
        <f>E56-E57-E58-E59</f>
        <v>0</v>
      </c>
      <c r="F60" s="219">
        <f t="shared" si="2"/>
        <v>0</v>
      </c>
      <c r="G60" s="427"/>
    </row>
    <row r="61" spans="2:8" x14ac:dyDescent="0.45">
      <c r="C61" s="115" t="s">
        <v>592</v>
      </c>
      <c r="D61" s="22">
        <v>0.12</v>
      </c>
      <c r="E61" s="146">
        <f>E60*D61</f>
        <v>0</v>
      </c>
      <c r="F61" s="217">
        <f t="shared" si="2"/>
        <v>0</v>
      </c>
    </row>
    <row r="62" spans="2:8" x14ac:dyDescent="0.45">
      <c r="C62" s="115" t="s">
        <v>593</v>
      </c>
      <c r="D62" s="15"/>
      <c r="E62" s="146">
        <f>E60*4%</f>
        <v>0</v>
      </c>
      <c r="F62" s="219">
        <f t="shared" si="2"/>
        <v>0</v>
      </c>
    </row>
    <row r="63" spans="2:8" x14ac:dyDescent="0.45">
      <c r="C63" s="115" t="str">
        <f>IF(Input!$D$13&gt;0,"Improvement Cost:","")</f>
        <v/>
      </c>
      <c r="E63" s="146">
        <f>Input!$D$13</f>
        <v>0</v>
      </c>
      <c r="F63" s="217">
        <f t="shared" si="2"/>
        <v>0</v>
      </c>
    </row>
    <row r="64" spans="2:8" s="24" customFormat="1" x14ac:dyDescent="0.45">
      <c r="C64" s="148" t="str">
        <f>IF(Input!$D$13&gt;0,"Less "&amp;D64*100&amp;"% Improvement Cost Discount:","")</f>
        <v/>
      </c>
      <c r="D64" s="21">
        <f>IF(Input!$D$13&gt;0,Input!$F$5,0)</f>
        <v>0</v>
      </c>
      <c r="E64" s="480">
        <f>E63*D64</f>
        <v>0</v>
      </c>
      <c r="F64" s="219">
        <f>E64/50</f>
        <v>0</v>
      </c>
      <c r="G64" s="432"/>
    </row>
    <row r="65" spans="2:7" s="24" customFormat="1" x14ac:dyDescent="0.45">
      <c r="C65" s="148" t="s">
        <v>932</v>
      </c>
      <c r="D65" s="21"/>
      <c r="E65" s="481">
        <f>IF(B54="PAYMENT TERM NOT AVAILABLE FOR THIS PROPERTY",D56,25000)</f>
        <v>0</v>
      </c>
      <c r="F65" s="219">
        <f t="shared" ref="F65" si="3">E65/50</f>
        <v>0</v>
      </c>
      <c r="G65" s="432"/>
    </row>
    <row r="66" spans="2:7" x14ac:dyDescent="0.45">
      <c r="C66" s="11" t="s">
        <v>580</v>
      </c>
      <c r="D66" s="17"/>
      <c r="E66" s="213">
        <f>ROUND(E60+E61+E62+E63-E64,-2)</f>
        <v>0</v>
      </c>
      <c r="F66" s="220">
        <f>ROUND(F60+F61+F62+F63-F64,-2)</f>
        <v>0</v>
      </c>
    </row>
    <row r="67" spans="2:7" ht="9.75" customHeight="1" x14ac:dyDescent="0.45">
      <c r="F67" s="217"/>
    </row>
    <row r="68" spans="2:7" x14ac:dyDescent="0.45">
      <c r="C68" s="14" t="str">
        <f>D68*100&amp;"% Downpayment"</f>
        <v>20% Downpayment</v>
      </c>
      <c r="D68" s="238">
        <f>IF(OR(Input!D7="The Meridien",Input!D7="Sunshine Place",Input!D7="West Parc",Input!D7="Woodmore Spring"),25%,IF(Input!D7="The Arborage",20%,10%))</f>
        <v>0.2</v>
      </c>
      <c r="E68" s="9">
        <f>D68*E66</f>
        <v>0</v>
      </c>
      <c r="F68" s="217">
        <f>E68/50</f>
        <v>0</v>
      </c>
    </row>
    <row r="69" spans="2:7" s="24" customFormat="1" x14ac:dyDescent="0.45">
      <c r="C69" s="187" t="s">
        <v>581</v>
      </c>
      <c r="D69" s="16"/>
      <c r="E69" s="9">
        <f>E27</f>
        <v>0</v>
      </c>
      <c r="F69" s="217">
        <f>E69/50</f>
        <v>0</v>
      </c>
      <c r="G69" s="432"/>
    </row>
    <row r="70" spans="2:7" x14ac:dyDescent="0.45">
      <c r="C70" s="11" t="s">
        <v>582</v>
      </c>
      <c r="D70" s="17"/>
      <c r="E70" s="213">
        <f>E68-E69</f>
        <v>0</v>
      </c>
      <c r="F70" s="220">
        <f>E70/50</f>
        <v>0</v>
      </c>
    </row>
    <row r="71" spans="2:7" x14ac:dyDescent="0.45">
      <c r="C71" s="13" t="s">
        <v>585</v>
      </c>
      <c r="F71" s="217"/>
    </row>
    <row r="72" spans="2:7" ht="4.5" customHeight="1" x14ac:dyDescent="0.45">
      <c r="F72" s="217"/>
    </row>
    <row r="73" spans="2:7" x14ac:dyDescent="0.45">
      <c r="C73" s="8" t="str">
        <f>D73*100&amp;"% Amortization"</f>
        <v>10% Amortization</v>
      </c>
      <c r="D73" s="15">
        <f>IF(OR(Input!D7="Meridien",Input!D7="Sunshine Place",Input!D7="West Parc",Input!D7="Woodmore Spring"),25%,IF(Input!D7="Arborage A",40%,10%))</f>
        <v>0.1</v>
      </c>
      <c r="E73" s="9">
        <f>D73*E66</f>
        <v>0</v>
      </c>
      <c r="F73" s="217">
        <f>E73/50</f>
        <v>0</v>
      </c>
      <c r="G73" s="433"/>
    </row>
    <row r="74" spans="2:7" x14ac:dyDescent="0.45">
      <c r="C74" s="11" t="str">
        <f>"Payable in "&amp;D74&amp;" months at 0% interest"</f>
        <v>Payable in 18 months at 0% interest</v>
      </c>
      <c r="D74" s="17">
        <f>IF(Input!D7="Prominence II",12,18)</f>
        <v>18</v>
      </c>
      <c r="E74" s="12">
        <f>E73/D74</f>
        <v>0</v>
      </c>
      <c r="F74" s="217">
        <f>E74/50</f>
        <v>0</v>
      </c>
      <c r="G74" s="433"/>
    </row>
    <row r="75" spans="2:7" ht="9.75" customHeight="1" x14ac:dyDescent="0.45">
      <c r="F75" s="217"/>
    </row>
    <row r="76" spans="2:7" s="11" customFormat="1" x14ac:dyDescent="0.45">
      <c r="C76" s="11" t="str">
        <f>D76*100&amp;"% Turnover Balance"</f>
        <v>70% Turnover Balance</v>
      </c>
      <c r="D76" s="15">
        <f>1-D73-D68</f>
        <v>0.7</v>
      </c>
      <c r="E76" s="20">
        <f>E66*D76</f>
        <v>0</v>
      </c>
      <c r="F76" s="217">
        <f>E76/50</f>
        <v>0</v>
      </c>
      <c r="G76" s="435"/>
    </row>
    <row r="77" spans="2:7" ht="9.75" customHeight="1" x14ac:dyDescent="0.45"/>
    <row r="78" spans="2:7" x14ac:dyDescent="0.45">
      <c r="B78" s="511" t="str">
        <f>IF(Input!E8="B-","PAYMENT TERM NOT AVAILABLE FOR THIS PROPERTY","10% over 12 months / 90% Lumpsum")</f>
        <v>PAYMENT TERM NOT AVAILABLE FOR THIS PROPERTY</v>
      </c>
      <c r="C78" s="511"/>
      <c r="D78" s="511"/>
      <c r="E78" s="511"/>
      <c r="F78" s="511"/>
      <c r="G78" s="511"/>
    </row>
    <row r="79" spans="2:7" ht="9.75" customHeight="1" x14ac:dyDescent="0.45"/>
    <row r="80" spans="2:7" x14ac:dyDescent="0.45">
      <c r="E80" s="125" t="s">
        <v>579</v>
      </c>
      <c r="F80" s="126" t="s">
        <v>655</v>
      </c>
    </row>
    <row r="81" spans="3:15" s="11" customFormat="1" x14ac:dyDescent="0.45">
      <c r="C81" s="11" t="s">
        <v>583</v>
      </c>
      <c r="D81" s="17">
        <v>0</v>
      </c>
      <c r="E81" s="296">
        <f>E14</f>
        <v>0</v>
      </c>
      <c r="F81" s="219">
        <f>E81/50</f>
        <v>0</v>
      </c>
      <c r="G81" s="427"/>
    </row>
    <row r="82" spans="3:15" s="11" customFormat="1" hidden="1" x14ac:dyDescent="0.45">
      <c r="D82" s="17"/>
      <c r="E82" s="296"/>
      <c r="F82" s="219"/>
      <c r="G82" s="427"/>
    </row>
    <row r="83" spans="3:15" s="24" customFormat="1" hidden="1" x14ac:dyDescent="0.45">
      <c r="C83" s="148" t="s">
        <v>899</v>
      </c>
      <c r="D83" s="21"/>
      <c r="E83" s="149"/>
      <c r="F83" s="219">
        <f t="shared" ref="F83" si="4">E83/50</f>
        <v>0</v>
      </c>
      <c r="G83" s="423"/>
    </row>
    <row r="84" spans="3:15" s="11" customFormat="1" x14ac:dyDescent="0.45">
      <c r="C84" s="427" t="s">
        <v>584</v>
      </c>
      <c r="D84" s="17"/>
      <c r="E84" s="213">
        <f>E81-E83</f>
        <v>0</v>
      </c>
      <c r="F84" s="431">
        <f>E84/50</f>
        <v>0</v>
      </c>
      <c r="G84" s="427"/>
    </row>
    <row r="85" spans="3:15" x14ac:dyDescent="0.45">
      <c r="C85" s="115" t="s">
        <v>592</v>
      </c>
      <c r="D85" s="22">
        <v>0.12</v>
      </c>
      <c r="E85" s="146">
        <f>E84*D85</f>
        <v>0</v>
      </c>
      <c r="F85" s="217">
        <f t="shared" ref="F85:F90" si="5">E85/50</f>
        <v>0</v>
      </c>
    </row>
    <row r="86" spans="3:15" x14ac:dyDescent="0.45">
      <c r="C86" s="115" t="s">
        <v>593</v>
      </c>
      <c r="D86" s="15"/>
      <c r="E86" s="146">
        <f>E84*4%</f>
        <v>0</v>
      </c>
      <c r="F86" s="219">
        <f t="shared" si="5"/>
        <v>0</v>
      </c>
      <c r="G86" s="433"/>
    </row>
    <row r="87" spans="3:15" x14ac:dyDescent="0.45">
      <c r="C87" s="115" t="str">
        <f>IF(Input!$D$13&gt;0,"Improvement Cost:","")</f>
        <v/>
      </c>
      <c r="E87" s="146">
        <f>Input!$D$13</f>
        <v>0</v>
      </c>
      <c r="F87" s="219">
        <f t="shared" si="5"/>
        <v>0</v>
      </c>
      <c r="G87" s="433"/>
    </row>
    <row r="88" spans="3:15" x14ac:dyDescent="0.45">
      <c r="C88" s="148" t="str">
        <f>IF(Input!$D$13&gt;0,"Less "&amp;D88*100&amp;"% Improvement Cost Discount:","")</f>
        <v/>
      </c>
      <c r="D88" s="21">
        <f>IF(Input!$D$13&gt;0,Input!$F$5,0)</f>
        <v>0</v>
      </c>
      <c r="E88" s="480">
        <f>E87*D88</f>
        <v>0</v>
      </c>
      <c r="F88" s="219">
        <f t="shared" si="5"/>
        <v>0</v>
      </c>
      <c r="G88" s="433"/>
    </row>
    <row r="89" spans="3:15" s="24" customFormat="1" x14ac:dyDescent="0.45">
      <c r="C89" s="148" t="s">
        <v>932</v>
      </c>
      <c r="D89" s="21"/>
      <c r="E89" s="481">
        <f>IF(B78="PAYMENT TERM NOT AVAILABLE FOR THIS PROPERTY",D80,25000)</f>
        <v>0</v>
      </c>
      <c r="F89" s="219">
        <f t="shared" si="5"/>
        <v>0</v>
      </c>
      <c r="G89" s="432"/>
    </row>
    <row r="90" spans="3:15" s="11" customFormat="1" x14ac:dyDescent="0.45">
      <c r="C90" s="11" t="s">
        <v>580</v>
      </c>
      <c r="D90" s="17"/>
      <c r="E90" s="127">
        <f>ROUND(E84+E85+E86+E87-E88-E89,-2)</f>
        <v>0</v>
      </c>
      <c r="F90" s="220">
        <f t="shared" si="5"/>
        <v>0</v>
      </c>
      <c r="G90" s="427"/>
    </row>
    <row r="91" spans="3:15" ht="18" customHeight="1" x14ac:dyDescent="0.45">
      <c r="F91" s="217"/>
    </row>
    <row r="92" spans="3:15" x14ac:dyDescent="0.45">
      <c r="C92" s="8" t="str">
        <f>D92*100&amp;"% Amortization:"</f>
        <v>10% Amortization:</v>
      </c>
      <c r="D92" s="15">
        <v>0.1</v>
      </c>
      <c r="E92" s="9">
        <f>D92*E90</f>
        <v>0</v>
      </c>
      <c r="F92" s="217">
        <f t="shared" ref="F92:F97" si="6">E92/50</f>
        <v>0</v>
      </c>
      <c r="H92" s="18"/>
    </row>
    <row r="93" spans="3:15" x14ac:dyDescent="0.45">
      <c r="C93" s="187" t="s">
        <v>743</v>
      </c>
      <c r="D93" s="15"/>
      <c r="E93" s="9">
        <f>E69</f>
        <v>0</v>
      </c>
      <c r="F93" s="217"/>
      <c r="H93" s="18"/>
      <c r="J93" s="511"/>
      <c r="K93" s="511"/>
      <c r="L93" s="511"/>
      <c r="M93" s="511"/>
      <c r="N93" s="511"/>
      <c r="O93" s="511"/>
    </row>
    <row r="94" spans="3:15" s="11" customFormat="1" x14ac:dyDescent="0.45">
      <c r="C94" s="11" t="str">
        <f>"Payable per month in "&amp;D94&amp;" months"</f>
        <v>Payable per month in 12 months</v>
      </c>
      <c r="D94" s="16">
        <v>12</v>
      </c>
      <c r="E94" s="214">
        <f>((E92-E93)/D94)</f>
        <v>0</v>
      </c>
      <c r="F94" s="220">
        <f t="shared" si="6"/>
        <v>0</v>
      </c>
      <c r="G94" s="435"/>
      <c r="H94" s="19"/>
    </row>
    <row r="95" spans="3:15" x14ac:dyDescent="0.45">
      <c r="C95" s="170"/>
      <c r="E95" s="185"/>
      <c r="F95" s="221"/>
      <c r="G95" s="433"/>
      <c r="H95" s="18"/>
      <c r="I95" s="18"/>
    </row>
    <row r="96" spans="3:15" ht="9.75" customHeight="1" x14ac:dyDescent="0.45">
      <c r="F96" s="222"/>
    </row>
    <row r="97" spans="2:7" x14ac:dyDescent="0.45">
      <c r="C97" s="11" t="s">
        <v>744</v>
      </c>
      <c r="D97" s="15">
        <v>0.9</v>
      </c>
      <c r="E97" s="181">
        <f>E90*D97</f>
        <v>0</v>
      </c>
      <c r="F97" s="217">
        <f t="shared" si="6"/>
        <v>0</v>
      </c>
      <c r="G97" s="433"/>
    </row>
    <row r="99" spans="2:7" x14ac:dyDescent="0.45">
      <c r="B99" s="511" t="str">
        <f>IF(Input!E8="B-","PAYMENT TERM NOT AVAILABLE FOR THIS PROPERTY","30% DP / 70% over 36 months")</f>
        <v>PAYMENT TERM NOT AVAILABLE FOR THIS PROPERTY</v>
      </c>
      <c r="C99" s="511"/>
      <c r="D99" s="511"/>
      <c r="E99" s="511"/>
      <c r="F99" s="511"/>
      <c r="G99" s="511"/>
    </row>
    <row r="100" spans="2:7" ht="9.75" customHeight="1" x14ac:dyDescent="0.45"/>
    <row r="101" spans="2:7" x14ac:dyDescent="0.45">
      <c r="E101" s="125" t="s">
        <v>579</v>
      </c>
      <c r="F101" s="126" t="s">
        <v>655</v>
      </c>
    </row>
    <row r="102" spans="2:7" s="11" customFormat="1" x14ac:dyDescent="0.45">
      <c r="C102" s="11" t="s">
        <v>583</v>
      </c>
      <c r="D102" s="17"/>
      <c r="E102" s="12">
        <f>E81</f>
        <v>0</v>
      </c>
      <c r="F102" s="217">
        <f>E102/50</f>
        <v>0</v>
      </c>
      <c r="G102" s="427"/>
    </row>
    <row r="103" spans="2:7" s="11" customFormat="1" hidden="1" x14ac:dyDescent="0.45">
      <c r="D103" s="17"/>
      <c r="E103" s="12"/>
      <c r="F103" s="217"/>
      <c r="G103" s="427"/>
    </row>
    <row r="104" spans="2:7" s="24" customFormat="1" hidden="1" x14ac:dyDescent="0.45">
      <c r="C104" s="148" t="s">
        <v>899</v>
      </c>
      <c r="D104" s="21"/>
      <c r="E104" s="149"/>
      <c r="F104" s="219">
        <f t="shared" ref="F104" si="7">E104/50</f>
        <v>0</v>
      </c>
      <c r="G104" s="423"/>
    </row>
    <row r="105" spans="2:7" s="11" customFormat="1" x14ac:dyDescent="0.45">
      <c r="C105" s="427" t="s">
        <v>584</v>
      </c>
      <c r="D105" s="17"/>
      <c r="E105" s="213">
        <f>E102-E104</f>
        <v>0</v>
      </c>
      <c r="F105" s="431">
        <f t="shared" ref="F105:F111" si="8">E105/50</f>
        <v>0</v>
      </c>
      <c r="G105" s="427"/>
    </row>
    <row r="106" spans="2:7" x14ac:dyDescent="0.45">
      <c r="C106" s="115" t="s">
        <v>592</v>
      </c>
      <c r="D106" s="22">
        <v>0.12</v>
      </c>
      <c r="E106" s="146">
        <f>E105*D106</f>
        <v>0</v>
      </c>
      <c r="F106" s="217">
        <f t="shared" si="8"/>
        <v>0</v>
      </c>
    </row>
    <row r="107" spans="2:7" x14ac:dyDescent="0.45">
      <c r="C107" s="115" t="s">
        <v>593</v>
      </c>
      <c r="D107" s="15"/>
      <c r="E107" s="146">
        <f>E105*4%</f>
        <v>0</v>
      </c>
      <c r="F107" s="219">
        <f t="shared" si="8"/>
        <v>0</v>
      </c>
    </row>
    <row r="108" spans="2:7" x14ac:dyDescent="0.45">
      <c r="C108" s="115" t="str">
        <f>IF(Input!$D$13&gt;0,"Improvement Cost:","")</f>
        <v/>
      </c>
      <c r="E108" s="146">
        <f>Input!$D$13</f>
        <v>0</v>
      </c>
      <c r="F108" s="219">
        <f t="shared" si="8"/>
        <v>0</v>
      </c>
      <c r="G108" s="433"/>
    </row>
    <row r="109" spans="2:7" x14ac:dyDescent="0.45">
      <c r="C109" s="148" t="str">
        <f>IF(Input!$D$13&gt;0,"Less "&amp;D109*100&amp;"% Improvement Cost Discount:","")</f>
        <v/>
      </c>
      <c r="D109" s="21">
        <f>IF(Input!$D$13&gt;0,Input!$F$5,0)</f>
        <v>0</v>
      </c>
      <c r="E109" s="480">
        <f>E108*D109</f>
        <v>0</v>
      </c>
      <c r="F109" s="219">
        <f t="shared" si="8"/>
        <v>0</v>
      </c>
      <c r="G109" s="433"/>
    </row>
    <row r="110" spans="2:7" s="24" customFormat="1" x14ac:dyDescent="0.45">
      <c r="C110" s="148" t="s">
        <v>932</v>
      </c>
      <c r="D110" s="21"/>
      <c r="E110" s="481">
        <f>IF(B99="PAYMENT TERM NOT AVAILABLE FOR THIS PROPERTY",D101,25000)</f>
        <v>0</v>
      </c>
      <c r="F110" s="217">
        <f t="shared" si="8"/>
        <v>0</v>
      </c>
      <c r="G110" s="432"/>
    </row>
    <row r="111" spans="2:7" s="11" customFormat="1" x14ac:dyDescent="0.45">
      <c r="C111" s="11" t="s">
        <v>580</v>
      </c>
      <c r="D111" s="17"/>
      <c r="E111" s="127">
        <f>ROUND(E105+E106+E107+E108-E109-E110,-2)</f>
        <v>0</v>
      </c>
      <c r="F111" s="220">
        <f t="shared" si="8"/>
        <v>0</v>
      </c>
      <c r="G111" s="427"/>
    </row>
    <row r="112" spans="2:7" ht="15.75" customHeight="1" x14ac:dyDescent="0.45">
      <c r="F112" s="217"/>
    </row>
    <row r="113" spans="2:8" x14ac:dyDescent="0.45">
      <c r="C113" s="14" t="str">
        <f>D113*100&amp;"% Downpayment:"</f>
        <v>30% Downpayment:</v>
      </c>
      <c r="D113" s="15">
        <v>0.3</v>
      </c>
      <c r="E113" s="9">
        <f>E111*D113</f>
        <v>0</v>
      </c>
      <c r="F113" s="217">
        <f>E113/50</f>
        <v>0</v>
      </c>
    </row>
    <row r="114" spans="2:8" s="23" customFormat="1" x14ac:dyDescent="0.45">
      <c r="C114" s="115" t="s">
        <v>581</v>
      </c>
      <c r="D114" s="215"/>
      <c r="E114" s="152">
        <f>E93</f>
        <v>0</v>
      </c>
      <c r="F114" s="217">
        <f>E114/50</f>
        <v>0</v>
      </c>
      <c r="G114" s="436"/>
    </row>
    <row r="115" spans="2:8" s="11" customFormat="1" x14ac:dyDescent="0.45">
      <c r="C115" s="11" t="s">
        <v>596</v>
      </c>
      <c r="D115" s="17"/>
      <c r="E115" s="213">
        <f>E113-E114</f>
        <v>0</v>
      </c>
      <c r="F115" s="220">
        <f>E115/50</f>
        <v>0</v>
      </c>
      <c r="G115" s="427"/>
    </row>
    <row r="116" spans="2:8" x14ac:dyDescent="0.45">
      <c r="C116" s="117" t="s">
        <v>897</v>
      </c>
      <c r="F116" s="217"/>
    </row>
    <row r="117" spans="2:8" x14ac:dyDescent="0.45">
      <c r="F117" s="217"/>
    </row>
    <row r="118" spans="2:8" x14ac:dyDescent="0.45">
      <c r="C118" s="8" t="str">
        <f>D118*100&amp;"% Amortization:"</f>
        <v>70% Amortization:</v>
      </c>
      <c r="D118" s="15">
        <v>0.7</v>
      </c>
      <c r="E118" s="9">
        <f>D118*E111</f>
        <v>0</v>
      </c>
      <c r="F118" s="217">
        <f>E118/50</f>
        <v>0</v>
      </c>
      <c r="H118" s="18"/>
    </row>
    <row r="119" spans="2:8" s="11" customFormat="1" x14ac:dyDescent="0.45">
      <c r="C119" s="11" t="str">
        <f>"Payable* per month in "&amp;D119&amp;" months"</f>
        <v>Payable* per month in 36 months</v>
      </c>
      <c r="D119" s="16">
        <v>36</v>
      </c>
      <c r="E119" s="133">
        <f>(E118/D119)</f>
        <v>0</v>
      </c>
      <c r="F119" s="217">
        <f>E119/50</f>
        <v>0</v>
      </c>
      <c r="G119" s="435"/>
      <c r="H119" s="19"/>
    </row>
    <row r="120" spans="2:8" s="11" customFormat="1" x14ac:dyDescent="0.45">
      <c r="D120" s="16"/>
      <c r="E120" s="133"/>
      <c r="F120" s="217"/>
      <c r="G120" s="435"/>
      <c r="H120" s="19"/>
    </row>
    <row r="121" spans="2:8" x14ac:dyDescent="0.45">
      <c r="B121" s="511" t="str">
        <f>IF(Input!E8="B-","PAYMENT TERM NOT AVAILABLE FOR THIS PROPERTY","10% DP / 40% over 24 months / 50% Lumpsum")</f>
        <v>PAYMENT TERM NOT AVAILABLE FOR THIS PROPERTY</v>
      </c>
      <c r="C121" s="511"/>
      <c r="D121" s="511"/>
      <c r="E121" s="511"/>
      <c r="F121" s="511"/>
      <c r="G121" s="511"/>
    </row>
    <row r="122" spans="2:8" ht="9.75" customHeight="1" x14ac:dyDescent="0.45"/>
    <row r="123" spans="2:8" x14ac:dyDescent="0.45">
      <c r="E123" s="125" t="s">
        <v>579</v>
      </c>
      <c r="F123" s="126" t="s">
        <v>655</v>
      </c>
    </row>
    <row r="124" spans="2:8" s="11" customFormat="1" x14ac:dyDescent="0.45">
      <c r="C124" s="11" t="s">
        <v>583</v>
      </c>
      <c r="D124" s="17"/>
      <c r="E124" s="12">
        <f>E14</f>
        <v>0</v>
      </c>
      <c r="F124" s="217">
        <f>E124/50</f>
        <v>0</v>
      </c>
      <c r="G124" s="427"/>
    </row>
    <row r="125" spans="2:8" s="11" customFormat="1" hidden="1" x14ac:dyDescent="0.45">
      <c r="D125" s="17"/>
      <c r="E125" s="12"/>
      <c r="F125" s="217"/>
      <c r="G125" s="427"/>
    </row>
    <row r="126" spans="2:8" s="24" customFormat="1" hidden="1" x14ac:dyDescent="0.45">
      <c r="C126" s="148" t="s">
        <v>899</v>
      </c>
      <c r="D126" s="21"/>
      <c r="E126" s="149"/>
      <c r="F126" s="219">
        <f t="shared" ref="F126" si="9">E126/50</f>
        <v>0</v>
      </c>
      <c r="G126" s="423"/>
    </row>
    <row r="127" spans="2:8" s="11" customFormat="1" x14ac:dyDescent="0.45">
      <c r="C127" s="427" t="s">
        <v>584</v>
      </c>
      <c r="D127" s="17"/>
      <c r="E127" s="213">
        <f>E124-E126</f>
        <v>0</v>
      </c>
      <c r="F127" s="431">
        <f t="shared" ref="F127:F133" si="10">E127/50</f>
        <v>0</v>
      </c>
      <c r="G127" s="427"/>
    </row>
    <row r="128" spans="2:8" x14ac:dyDescent="0.45">
      <c r="C128" s="115" t="s">
        <v>592</v>
      </c>
      <c r="D128" s="22">
        <v>0.12</v>
      </c>
      <c r="E128" s="146">
        <f>E127*D128</f>
        <v>0</v>
      </c>
      <c r="F128" s="217">
        <f t="shared" si="10"/>
        <v>0</v>
      </c>
    </row>
    <row r="129" spans="3:9" x14ac:dyDescent="0.45">
      <c r="C129" s="115" t="s">
        <v>593</v>
      </c>
      <c r="D129" s="15"/>
      <c r="E129" s="146">
        <f>E127*4%</f>
        <v>0</v>
      </c>
      <c r="F129" s="219">
        <f t="shared" si="10"/>
        <v>0</v>
      </c>
    </row>
    <row r="130" spans="3:9" x14ac:dyDescent="0.45">
      <c r="C130" s="115" t="str">
        <f>IF(Input!$D$13&gt;0,"Improvement Cost:","")</f>
        <v/>
      </c>
      <c r="E130" s="146">
        <f>Input!$D$13</f>
        <v>0</v>
      </c>
      <c r="F130" s="219">
        <f t="shared" si="10"/>
        <v>0</v>
      </c>
      <c r="G130" s="433"/>
    </row>
    <row r="131" spans="3:9" x14ac:dyDescent="0.45">
      <c r="C131" s="148" t="str">
        <f>IF(Input!$D$13&gt;0,"Less "&amp;D131*100&amp;"% Improvement Cost Discount:","")</f>
        <v/>
      </c>
      <c r="D131" s="21">
        <f>IF(Input!$D$13&gt;0,Input!$F$5,0)</f>
        <v>0</v>
      </c>
      <c r="E131" s="480">
        <f>E130*D131</f>
        <v>0</v>
      </c>
      <c r="F131" s="219">
        <f t="shared" si="10"/>
        <v>0</v>
      </c>
      <c r="G131" s="433"/>
    </row>
    <row r="132" spans="3:9" s="24" customFormat="1" x14ac:dyDescent="0.45">
      <c r="C132" s="148" t="s">
        <v>932</v>
      </c>
      <c r="D132" s="21"/>
      <c r="E132" s="481">
        <f>IF(B121="PAYMENT TERM NOT AVAILABLE FOR THIS PROPERTY",D123,25000)</f>
        <v>0</v>
      </c>
      <c r="F132" s="217">
        <f t="shared" si="10"/>
        <v>0</v>
      </c>
      <c r="G132" s="432"/>
    </row>
    <row r="133" spans="3:9" s="11" customFormat="1" x14ac:dyDescent="0.45">
      <c r="C133" s="11" t="s">
        <v>580</v>
      </c>
      <c r="D133" s="17"/>
      <c r="E133" s="127">
        <f>ROUND(E127+E128+E129+E130-E131-E132,-2)</f>
        <v>0</v>
      </c>
      <c r="F133" s="220">
        <f t="shared" si="10"/>
        <v>0</v>
      </c>
      <c r="G133" s="427"/>
    </row>
    <row r="134" spans="3:9" ht="15.75" customHeight="1" x14ac:dyDescent="0.45">
      <c r="F134" s="217"/>
    </row>
    <row r="135" spans="3:9" x14ac:dyDescent="0.45">
      <c r="C135" s="14" t="str">
        <f>D135*100&amp;"% Downpayment:"</f>
        <v>10% Downpayment:</v>
      </c>
      <c r="D135" s="15">
        <v>0.1</v>
      </c>
      <c r="E135" s="9">
        <f>E133*D135</f>
        <v>0</v>
      </c>
      <c r="F135" s="217">
        <f>E135/50</f>
        <v>0</v>
      </c>
    </row>
    <row r="136" spans="3:9" s="23" customFormat="1" x14ac:dyDescent="0.45">
      <c r="C136" s="115" t="s">
        <v>581</v>
      </c>
      <c r="D136" s="215"/>
      <c r="E136" s="152">
        <f>E69</f>
        <v>0</v>
      </c>
      <c r="F136" s="217">
        <f>E136/50</f>
        <v>0</v>
      </c>
      <c r="G136" s="436"/>
    </row>
    <row r="137" spans="3:9" s="11" customFormat="1" x14ac:dyDescent="0.45">
      <c r="C137" s="11" t="s">
        <v>596</v>
      </c>
      <c r="D137" s="17"/>
      <c r="E137" s="213">
        <f>E135-E136</f>
        <v>0</v>
      </c>
      <c r="F137" s="220">
        <f>E137/50</f>
        <v>0</v>
      </c>
      <c r="G137" s="427"/>
    </row>
    <row r="138" spans="3:9" x14ac:dyDescent="0.45">
      <c r="C138" s="117" t="s">
        <v>897</v>
      </c>
      <c r="F138" s="217"/>
    </row>
    <row r="139" spans="3:9" ht="9.75" customHeight="1" x14ac:dyDescent="0.45">
      <c r="F139" s="217"/>
    </row>
    <row r="140" spans="3:9" x14ac:dyDescent="0.45">
      <c r="C140" s="8" t="str">
        <f>D140*100&amp;"% Amortization:"</f>
        <v>40% Amortization:</v>
      </c>
      <c r="D140" s="15">
        <v>0.4</v>
      </c>
      <c r="E140" s="9">
        <f>D140*E133</f>
        <v>0</v>
      </c>
      <c r="F140" s="217">
        <f>E140/50</f>
        <v>0</v>
      </c>
      <c r="H140" s="18"/>
    </row>
    <row r="141" spans="3:9" s="11" customFormat="1" x14ac:dyDescent="0.45">
      <c r="C141" s="11" t="str">
        <f>"Payable* per month in "&amp;D141&amp;" months"</f>
        <v>Payable* per month in 24 months</v>
      </c>
      <c r="D141" s="16">
        <v>24</v>
      </c>
      <c r="E141" s="133">
        <f>(E140/D141)</f>
        <v>0</v>
      </c>
      <c r="F141" s="217">
        <f>E141/50</f>
        <v>0</v>
      </c>
      <c r="G141" s="435"/>
      <c r="H141" s="19"/>
    </row>
    <row r="142" spans="3:9" s="11" customFormat="1" x14ac:dyDescent="0.45">
      <c r="D142" s="16"/>
      <c r="E142" s="133"/>
      <c r="F142" s="217"/>
      <c r="G142" s="435"/>
      <c r="H142" s="19"/>
    </row>
    <row r="143" spans="3:9" x14ac:dyDescent="0.45">
      <c r="C143" s="11" t="s">
        <v>892</v>
      </c>
      <c r="E143" s="133">
        <f>E133*50%</f>
        <v>0</v>
      </c>
      <c r="F143" s="217">
        <f>E143/50</f>
        <v>0</v>
      </c>
      <c r="G143" s="433"/>
      <c r="H143" s="18"/>
      <c r="I143" s="18"/>
    </row>
    <row r="144" spans="3:9" x14ac:dyDescent="0.45">
      <c r="C144" s="11"/>
      <c r="E144" s="133"/>
      <c r="F144" s="217"/>
      <c r="G144" s="433"/>
      <c r="H144" s="18"/>
      <c r="I144" s="18"/>
    </row>
    <row r="145" spans="2:7" x14ac:dyDescent="0.45">
      <c r="B145" s="511" t="str">
        <f>IF(Input!E8="B-","PAYMENT TERM NOT AVAILABLE FOR THIS PROPERTY","10% over 20 months / 2% Bullet (mo 6,12,18) / Lumpsum")</f>
        <v>PAYMENT TERM NOT AVAILABLE FOR THIS PROPERTY</v>
      </c>
      <c r="C145" s="511"/>
      <c r="D145" s="511"/>
      <c r="E145" s="511"/>
      <c r="F145" s="511"/>
      <c r="G145" s="511"/>
    </row>
    <row r="146" spans="2:7" ht="9.75" customHeight="1" x14ac:dyDescent="0.45"/>
    <row r="147" spans="2:7" x14ac:dyDescent="0.45">
      <c r="E147" s="125" t="s">
        <v>579</v>
      </c>
      <c r="F147" s="126" t="s">
        <v>655</v>
      </c>
    </row>
    <row r="148" spans="2:7" s="11" customFormat="1" x14ac:dyDescent="0.45">
      <c r="C148" s="11" t="s">
        <v>583</v>
      </c>
      <c r="D148" s="17"/>
      <c r="E148" s="12">
        <f>E14</f>
        <v>0</v>
      </c>
      <c r="F148" s="217">
        <f>E148/50</f>
        <v>0</v>
      </c>
      <c r="G148" s="427"/>
    </row>
    <row r="149" spans="2:7" s="11" customFormat="1" hidden="1" x14ac:dyDescent="0.45">
      <c r="D149" s="17"/>
      <c r="E149" s="12"/>
      <c r="F149" s="217"/>
      <c r="G149" s="427"/>
    </row>
    <row r="150" spans="2:7" s="24" customFormat="1" hidden="1" x14ac:dyDescent="0.45">
      <c r="C150" s="148" t="s">
        <v>899</v>
      </c>
      <c r="D150" s="21"/>
      <c r="E150" s="149"/>
      <c r="F150" s="219">
        <f t="shared" ref="F150" si="11">E150/50</f>
        <v>0</v>
      </c>
      <c r="G150" s="423"/>
    </row>
    <row r="151" spans="2:7" s="11" customFormat="1" x14ac:dyDescent="0.45">
      <c r="C151" s="427" t="s">
        <v>584</v>
      </c>
      <c r="D151" s="17"/>
      <c r="E151" s="213">
        <f>E148-E150</f>
        <v>0</v>
      </c>
      <c r="F151" s="431">
        <f t="shared" ref="F151:F157" si="12">E151/50</f>
        <v>0</v>
      </c>
      <c r="G151" s="427"/>
    </row>
    <row r="152" spans="2:7" x14ac:dyDescent="0.45">
      <c r="C152" s="115" t="s">
        <v>592</v>
      </c>
      <c r="D152" s="22">
        <v>0.12</v>
      </c>
      <c r="E152" s="146">
        <f>E151*D152</f>
        <v>0</v>
      </c>
      <c r="F152" s="217">
        <f t="shared" si="12"/>
        <v>0</v>
      </c>
    </row>
    <row r="153" spans="2:7" x14ac:dyDescent="0.45">
      <c r="C153" s="115" t="s">
        <v>593</v>
      </c>
      <c r="D153" s="15"/>
      <c r="E153" s="146">
        <f>E151*4%</f>
        <v>0</v>
      </c>
      <c r="F153" s="219">
        <f t="shared" si="12"/>
        <v>0</v>
      </c>
    </row>
    <row r="154" spans="2:7" x14ac:dyDescent="0.45">
      <c r="C154" s="115" t="str">
        <f>IF(Input!$D$13&gt;0,"Improvement Cost:","")</f>
        <v/>
      </c>
      <c r="E154" s="146">
        <f>Input!$D$13</f>
        <v>0</v>
      </c>
      <c r="F154" s="219">
        <f t="shared" si="12"/>
        <v>0</v>
      </c>
      <c r="G154" s="433"/>
    </row>
    <row r="155" spans="2:7" x14ac:dyDescent="0.45">
      <c r="C155" s="148" t="str">
        <f>IF(Input!$D$13&gt;0,"Less "&amp;D155*100&amp;"% Improvement Cost Discount:","")</f>
        <v/>
      </c>
      <c r="D155" s="21">
        <f>IF(Input!$D$13&gt;0,Input!$F$5,0)</f>
        <v>0</v>
      </c>
      <c r="E155" s="480">
        <f>E154*D155</f>
        <v>0</v>
      </c>
      <c r="F155" s="219">
        <f t="shared" si="12"/>
        <v>0</v>
      </c>
      <c r="G155" s="433"/>
    </row>
    <row r="156" spans="2:7" s="24" customFormat="1" x14ac:dyDescent="0.45">
      <c r="C156" s="148" t="s">
        <v>932</v>
      </c>
      <c r="D156" s="21"/>
      <c r="E156" s="481">
        <f>IF($B$145="PAYMENT TERM NOT AVAILABLE FOR THIS PROPERTY",D147,25000)</f>
        <v>0</v>
      </c>
      <c r="F156" s="217">
        <f t="shared" si="12"/>
        <v>0</v>
      </c>
      <c r="G156" s="432"/>
    </row>
    <row r="157" spans="2:7" s="11" customFormat="1" x14ac:dyDescent="0.45">
      <c r="C157" s="11" t="s">
        <v>580</v>
      </c>
      <c r="D157" s="17"/>
      <c r="E157" s="127">
        <f>ROUND(E151+E152+E153+E154-E155-E156,-2)</f>
        <v>0</v>
      </c>
      <c r="F157" s="220">
        <f t="shared" si="12"/>
        <v>0</v>
      </c>
      <c r="G157" s="427"/>
    </row>
    <row r="158" spans="2:7" ht="15.75" customHeight="1" x14ac:dyDescent="0.45">
      <c r="F158" s="217"/>
    </row>
    <row r="159" spans="2:7" x14ac:dyDescent="0.45">
      <c r="C159" s="14" t="s">
        <v>916</v>
      </c>
      <c r="D159" s="15">
        <v>0.1</v>
      </c>
      <c r="E159" s="9">
        <f>(E157*10%)+((E157*2%)*3)</f>
        <v>0</v>
      </c>
      <c r="F159" s="217">
        <f>E159/50</f>
        <v>0</v>
      </c>
    </row>
    <row r="160" spans="2:7" s="23" customFormat="1" x14ac:dyDescent="0.45">
      <c r="C160" s="427" t="s">
        <v>917</v>
      </c>
      <c r="D160" s="215"/>
      <c r="E160" s="296">
        <f>(E157*10%)/20</f>
        <v>0</v>
      </c>
      <c r="F160" s="219">
        <f>E160/50</f>
        <v>0</v>
      </c>
      <c r="G160" s="436"/>
    </row>
    <row r="161" spans="2:9" s="11" customFormat="1" x14ac:dyDescent="0.45">
      <c r="C161" s="427" t="s">
        <v>921</v>
      </c>
      <c r="D161" s="17"/>
      <c r="E161" s="296">
        <f>E157*2%</f>
        <v>0</v>
      </c>
      <c r="F161" s="219">
        <f>E161/50</f>
        <v>0</v>
      </c>
      <c r="G161" s="427"/>
    </row>
    <row r="162" spans="2:9" x14ac:dyDescent="0.45">
      <c r="F162" s="219"/>
    </row>
    <row r="163" spans="2:9" x14ac:dyDescent="0.45">
      <c r="C163" s="11" t="s">
        <v>625</v>
      </c>
      <c r="D163" s="15">
        <v>0.3</v>
      </c>
      <c r="E163" s="9">
        <f>(E157-E159)</f>
        <v>0</v>
      </c>
      <c r="F163" s="217">
        <f>E163/50</f>
        <v>0</v>
      </c>
      <c r="H163" s="18"/>
    </row>
    <row r="164" spans="2:9" s="11" customFormat="1" x14ac:dyDescent="0.45">
      <c r="C164" s="115" t="s">
        <v>581</v>
      </c>
      <c r="D164" s="16">
        <v>18</v>
      </c>
      <c r="E164" s="447">
        <f>IF(B145="PAYMENT TERM NOT AVAILABLE FOR THIS PROPERTY",0,25000)</f>
        <v>0</v>
      </c>
      <c r="F164" s="217">
        <f>E164/50</f>
        <v>0</v>
      </c>
      <c r="G164" s="435"/>
      <c r="H164" s="19"/>
    </row>
    <row r="165" spans="2:9" s="11" customFormat="1" x14ac:dyDescent="0.45">
      <c r="C165" s="11" t="s">
        <v>920</v>
      </c>
      <c r="D165" s="16"/>
      <c r="E165" s="133">
        <f>E163-E164</f>
        <v>0</v>
      </c>
      <c r="F165" s="217">
        <f>E165/50</f>
        <v>0</v>
      </c>
      <c r="G165" s="435"/>
      <c r="H165" s="19"/>
    </row>
    <row r="166" spans="2:9" s="11" customFormat="1" x14ac:dyDescent="0.45">
      <c r="D166" s="16"/>
      <c r="E166" s="133"/>
      <c r="F166" s="217"/>
      <c r="G166" s="435"/>
      <c r="H166" s="19"/>
    </row>
    <row r="167" spans="2:9" x14ac:dyDescent="0.45">
      <c r="C167" s="11"/>
      <c r="E167" s="133"/>
      <c r="F167" s="217"/>
      <c r="G167" s="433"/>
      <c r="H167" s="18"/>
      <c r="I167" s="18"/>
    </row>
    <row r="168" spans="2:9" x14ac:dyDescent="0.45">
      <c r="B168" s="153" t="s">
        <v>664</v>
      </c>
      <c r="C168" s="154" t="s">
        <v>659</v>
      </c>
    </row>
    <row r="169" spans="2:9" x14ac:dyDescent="0.45">
      <c r="B169" s="13"/>
      <c r="C169" s="13" t="s">
        <v>656</v>
      </c>
    </row>
    <row r="170" spans="2:9" x14ac:dyDescent="0.45">
      <c r="B170" s="13"/>
      <c r="C170" s="154" t="s">
        <v>658</v>
      </c>
    </row>
    <row r="171" spans="2:9" x14ac:dyDescent="0.45">
      <c r="B171" s="13"/>
      <c r="C171" s="13" t="s">
        <v>588</v>
      </c>
    </row>
    <row r="172" spans="2:9" x14ac:dyDescent="0.45">
      <c r="B172" s="13"/>
      <c r="C172" s="154" t="s">
        <v>660</v>
      </c>
    </row>
    <row r="173" spans="2:9" x14ac:dyDescent="0.45">
      <c r="B173" s="13"/>
      <c r="C173" s="13" t="s">
        <v>589</v>
      </c>
    </row>
    <row r="174" spans="2:9" hidden="1" x14ac:dyDescent="0.45">
      <c r="B174" s="13"/>
      <c r="C174" s="154" t="s">
        <v>661</v>
      </c>
    </row>
    <row r="175" spans="2:9" x14ac:dyDescent="0.45">
      <c r="B175" s="13" t="s">
        <v>112</v>
      </c>
      <c r="C175" s="154" t="s">
        <v>662</v>
      </c>
    </row>
    <row r="176" spans="2:9" x14ac:dyDescent="0.45">
      <c r="B176" s="13"/>
      <c r="C176" s="154" t="s">
        <v>663</v>
      </c>
      <c r="D176" s="8"/>
      <c r="E176" s="8"/>
      <c r="G176" s="8"/>
    </row>
    <row r="177" spans="3:7" x14ac:dyDescent="0.45">
      <c r="C177" s="13" t="s">
        <v>657</v>
      </c>
      <c r="D177" s="8"/>
      <c r="E177" s="8"/>
      <c r="G177" s="8"/>
    </row>
    <row r="178" spans="3:7" ht="18.649999999999999" customHeight="1" x14ac:dyDescent="0.45">
      <c r="C178" s="510" t="s">
        <v>940</v>
      </c>
      <c r="D178" s="510"/>
      <c r="E178" s="510"/>
      <c r="F178" s="510"/>
      <c r="G178" s="510"/>
    </row>
    <row r="179" spans="3:7" ht="18.5" customHeight="1" x14ac:dyDescent="0.45">
      <c r="C179" s="510" t="s">
        <v>933</v>
      </c>
      <c r="D179" s="510"/>
      <c r="E179" s="510"/>
      <c r="F179" s="510"/>
      <c r="G179" s="510"/>
    </row>
    <row r="180" spans="3:7" x14ac:dyDescent="0.45">
      <c r="C180" s="487" t="s">
        <v>936</v>
      </c>
      <c r="D180" s="487"/>
      <c r="E180" s="487"/>
      <c r="F180" s="487"/>
      <c r="G180" s="487"/>
    </row>
    <row r="181" spans="3:7" x14ac:dyDescent="0.45">
      <c r="C181" s="486" t="s">
        <v>934</v>
      </c>
      <c r="D181" s="485"/>
      <c r="E181" s="485"/>
      <c r="F181" s="485"/>
      <c r="G181" s="485"/>
    </row>
  </sheetData>
  <sheetProtection algorithmName="SHA-512" hashValue="+oqanGLdEi0yI+9zRbJWcclkFTbLXAr1pkUeJ0ROBLTxcOmNJM5p3YfDgFZPZoUAk6KenZ6dFCAxuyhkSm5Yow==" saltValue="mZjSMCx+cYjFf8iIfWvD0A==" spinCount="100000" sheet="1" objects="1" scenarios="1"/>
  <mergeCells count="10">
    <mergeCell ref="C178:G178"/>
    <mergeCell ref="C179:G179"/>
    <mergeCell ref="B145:G145"/>
    <mergeCell ref="J93:O93"/>
    <mergeCell ref="B11:G11"/>
    <mergeCell ref="B121:G121"/>
    <mergeCell ref="B99:G99"/>
    <mergeCell ref="B78:G78"/>
    <mergeCell ref="B54:G54"/>
    <mergeCell ref="B31:G31"/>
  </mergeCells>
  <conditionalFormatting sqref="E41">
    <cfRule type="expression" dxfId="135" priority="62">
      <formula>$E$41=0</formula>
    </cfRule>
  </conditionalFormatting>
  <conditionalFormatting sqref="E35:E37">
    <cfRule type="expression" dxfId="134" priority="61">
      <formula>$E$35=0</formula>
    </cfRule>
  </conditionalFormatting>
  <conditionalFormatting sqref="C6">
    <cfRule type="expression" dxfId="133" priority="56">
      <formula>$C$6=0</formula>
    </cfRule>
  </conditionalFormatting>
  <conditionalFormatting sqref="C7">
    <cfRule type="expression" dxfId="132" priority="55">
      <formula>$C$7=0</formula>
    </cfRule>
  </conditionalFormatting>
  <conditionalFormatting sqref="C2">
    <cfRule type="expression" dxfId="131" priority="54">
      <formula>$C$2=0</formula>
    </cfRule>
  </conditionalFormatting>
  <conditionalFormatting sqref="C3">
    <cfRule type="expression" dxfId="130" priority="53">
      <formula>$C$3=0</formula>
    </cfRule>
  </conditionalFormatting>
  <conditionalFormatting sqref="E42">
    <cfRule type="expression" dxfId="129" priority="51">
      <formula>$E$42=0</formula>
    </cfRule>
  </conditionalFormatting>
  <conditionalFormatting sqref="E36">
    <cfRule type="expression" dxfId="128" priority="46">
      <formula>$E$36=0</formula>
    </cfRule>
  </conditionalFormatting>
  <conditionalFormatting sqref="E37">
    <cfRule type="expression" dxfId="127" priority="45">
      <formula>$E$37=0</formula>
    </cfRule>
  </conditionalFormatting>
  <conditionalFormatting sqref="E155">
    <cfRule type="expression" dxfId="126" priority="1">
      <formula>$E$42=0</formula>
    </cfRule>
  </conditionalFormatting>
  <conditionalFormatting sqref="E154">
    <cfRule type="expression" dxfId="125" priority="2">
      <formula>$E$41=0</formula>
    </cfRule>
  </conditionalFormatting>
  <conditionalFormatting sqref="E21">
    <cfRule type="expression" dxfId="124" priority="12">
      <formula>$E$41=0</formula>
    </cfRule>
  </conditionalFormatting>
  <conditionalFormatting sqref="E22">
    <cfRule type="expression" dxfId="123" priority="11">
      <formula>$E$42=0</formula>
    </cfRule>
  </conditionalFormatting>
  <conditionalFormatting sqref="E63">
    <cfRule type="expression" dxfId="122" priority="10">
      <formula>$E$41=0</formula>
    </cfRule>
  </conditionalFormatting>
  <conditionalFormatting sqref="E64">
    <cfRule type="expression" dxfId="121" priority="9">
      <formula>$E$42=0</formula>
    </cfRule>
  </conditionalFormatting>
  <conditionalFormatting sqref="E87">
    <cfRule type="expression" dxfId="120" priority="8">
      <formula>$E$41=0</formula>
    </cfRule>
  </conditionalFormatting>
  <conditionalFormatting sqref="E88">
    <cfRule type="expression" dxfId="119" priority="7">
      <formula>$E$42=0</formula>
    </cfRule>
  </conditionalFormatting>
  <conditionalFormatting sqref="E108">
    <cfRule type="expression" dxfId="118" priority="6">
      <formula>$E$41=0</formula>
    </cfRule>
  </conditionalFormatting>
  <conditionalFormatting sqref="E109">
    <cfRule type="expression" dxfId="117" priority="5">
      <formula>$E$42=0</formula>
    </cfRule>
  </conditionalFormatting>
  <conditionalFormatting sqref="E130">
    <cfRule type="expression" dxfId="116" priority="4">
      <formula>$E$41=0</formula>
    </cfRule>
  </conditionalFormatting>
  <conditionalFormatting sqref="E131">
    <cfRule type="expression" dxfId="115" priority="3">
      <formula>$E$42=0</formula>
    </cfRule>
  </conditionalFormatting>
  <pageMargins left="0.7" right="0.7" top="0.75" bottom="0.75" header="0.3" footer="0.3"/>
  <pageSetup paperSize="5" scale="3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B1:I218"/>
  <sheetViews>
    <sheetView showGridLines="0" view="pageBreakPreview" zoomScale="55" zoomScaleNormal="100" zoomScaleSheetLayoutView="55" workbookViewId="0">
      <selection activeCell="C216" sqref="C216:G216"/>
    </sheetView>
  </sheetViews>
  <sheetFormatPr defaultColWidth="21.453125" defaultRowHeight="18.5" x14ac:dyDescent="0.45"/>
  <cols>
    <col min="1" max="1" width="3.1796875" style="8" customWidth="1"/>
    <col min="2" max="2" width="31.81640625" style="8" customWidth="1"/>
    <col min="3" max="3" width="47.453125" style="8" customWidth="1"/>
    <col min="4" max="4" width="11.26953125" style="16" bestFit="1" customWidth="1"/>
    <col min="5" max="5" width="37" style="9" customWidth="1"/>
    <col min="6" max="6" width="21.1796875" style="8" bestFit="1" customWidth="1"/>
    <col min="7" max="7" width="25.7265625" style="187" customWidth="1"/>
    <col min="8" max="16384" width="21.453125" style="8"/>
  </cols>
  <sheetData>
    <row r="1" spans="2:7" ht="9.75" customHeight="1" x14ac:dyDescent="0.45"/>
    <row r="2" spans="2:7" x14ac:dyDescent="0.45">
      <c r="B2" s="8" t="s">
        <v>575</v>
      </c>
      <c r="C2" s="284">
        <f>Input!D4</f>
        <v>0</v>
      </c>
    </row>
    <row r="3" spans="2:7" x14ac:dyDescent="0.45">
      <c r="B3" s="8" t="s">
        <v>595</v>
      </c>
      <c r="C3" s="285">
        <f>Input!D6</f>
        <v>0</v>
      </c>
    </row>
    <row r="4" spans="2:7" x14ac:dyDescent="0.45">
      <c r="B4" s="8" t="s">
        <v>3</v>
      </c>
      <c r="C4" s="285" t="str">
        <f>Input!D7</f>
        <v>The Arborage</v>
      </c>
    </row>
    <row r="5" spans="2:7" x14ac:dyDescent="0.45">
      <c r="B5" s="8" t="s">
        <v>576</v>
      </c>
      <c r="C5" s="286" t="str">
        <f>Input!D8</f>
        <v>B-B2-L10</v>
      </c>
    </row>
    <row r="6" spans="2:7" x14ac:dyDescent="0.45">
      <c r="B6" s="8" t="s">
        <v>577</v>
      </c>
      <c r="C6" s="106">
        <f>Input!D10</f>
        <v>168</v>
      </c>
    </row>
    <row r="7" spans="2:7" x14ac:dyDescent="0.45">
      <c r="B7" s="8" t="str">
        <f>IF(OR(Input!D9="House and Lot",Input!D9="Horizontal Condominium"),"House Area:","")</f>
        <v/>
      </c>
      <c r="C7" s="287">
        <f>Input!D11</f>
        <v>0</v>
      </c>
    </row>
    <row r="8" spans="2:7" x14ac:dyDescent="0.45">
      <c r="B8" s="10" t="s">
        <v>578</v>
      </c>
      <c r="C8" s="10">
        <f ca="1">TODAY()</f>
        <v>44061</v>
      </c>
    </row>
    <row r="9" spans="2:7" x14ac:dyDescent="0.45">
      <c r="B9" s="10"/>
      <c r="C9" s="10"/>
    </row>
    <row r="10" spans="2:7" ht="9.75" customHeight="1" x14ac:dyDescent="0.45"/>
    <row r="11" spans="2:7" hidden="1" x14ac:dyDescent="0.45">
      <c r="B11" s="511" t="str">
        <f>IF(Input!E8="B-","PAYMENT TERM NOT AVAILABLE FOR THIS PROPERTY","CASH 30 days (with "&amp;Input!F4*100&amp;"% Discount)")</f>
        <v>PAYMENT TERM NOT AVAILABLE FOR THIS PROPERTY</v>
      </c>
      <c r="C11" s="511"/>
      <c r="D11" s="511"/>
      <c r="E11" s="511"/>
      <c r="F11" s="511"/>
      <c r="G11" s="511"/>
    </row>
    <row r="12" spans="2:7" ht="9.75" hidden="1" customHeight="1" x14ac:dyDescent="0.45"/>
    <row r="13" spans="2:7" ht="20.149999999999999" hidden="1" customHeight="1" x14ac:dyDescent="0.45">
      <c r="E13" s="125" t="s">
        <v>579</v>
      </c>
      <c r="F13" s="126" t="s">
        <v>655</v>
      </c>
    </row>
    <row r="14" spans="2:7" s="11" customFormat="1" hidden="1" x14ac:dyDescent="0.45">
      <c r="C14" s="11" t="s">
        <v>583</v>
      </c>
      <c r="D14" s="17">
        <v>0</v>
      </c>
      <c r="E14" s="12">
        <f>IF(B11="PAYMENT TERM NOT AVAILABLE FOR THIS PROPERTY",D14,Input!D12)</f>
        <v>0</v>
      </c>
      <c r="F14" s="217">
        <f>E14/50</f>
        <v>0</v>
      </c>
      <c r="G14" s="427"/>
    </row>
    <row r="15" spans="2:7" s="24" customFormat="1" hidden="1" x14ac:dyDescent="0.45">
      <c r="C15" s="148" t="str">
        <f>IF(D15&gt;0,"Less "&amp;D15*100&amp;"% Discount:","")</f>
        <v>Less 9% Discount:</v>
      </c>
      <c r="D15" s="21">
        <v>0.09</v>
      </c>
      <c r="E15" s="149">
        <f>D15*E14</f>
        <v>0</v>
      </c>
      <c r="F15" s="217">
        <f t="shared" ref="F15:F27" si="0">E15/50</f>
        <v>0</v>
      </c>
      <c r="G15" s="432"/>
    </row>
    <row r="16" spans="2:7" s="24" customFormat="1" hidden="1" x14ac:dyDescent="0.45">
      <c r="C16" s="23" t="str">
        <f>IF(D16&gt;0,"Less "&amp;D16*100&amp;"% Discount:","")</f>
        <v/>
      </c>
      <c r="D16" s="21">
        <v>0</v>
      </c>
      <c r="E16" s="119">
        <f>D16*(E14-E15)</f>
        <v>0</v>
      </c>
      <c r="F16" s="217">
        <f t="shared" si="0"/>
        <v>0</v>
      </c>
      <c r="G16" s="432"/>
    </row>
    <row r="17" spans="2:7" s="24" customFormat="1" hidden="1" x14ac:dyDescent="0.45">
      <c r="C17" s="23"/>
      <c r="D17" s="21"/>
      <c r="E17" s="120">
        <f>D17*(E14-E15-E16)</f>
        <v>0</v>
      </c>
      <c r="F17" s="217">
        <f t="shared" si="0"/>
        <v>0</v>
      </c>
      <c r="G17" s="432"/>
    </row>
    <row r="18" spans="2:7" hidden="1" x14ac:dyDescent="0.45">
      <c r="C18" s="8" t="s">
        <v>584</v>
      </c>
      <c r="E18" s="121">
        <f>E14-E15-E16-E17</f>
        <v>0</v>
      </c>
      <c r="F18" s="220">
        <f t="shared" si="0"/>
        <v>0</v>
      </c>
      <c r="G18" s="433"/>
    </row>
    <row r="19" spans="2:7" hidden="1" x14ac:dyDescent="0.45">
      <c r="C19" s="115" t="s">
        <v>592</v>
      </c>
      <c r="D19" s="22">
        <v>0.12</v>
      </c>
      <c r="E19" s="122">
        <f>E18*12%</f>
        <v>0</v>
      </c>
      <c r="F19" s="217">
        <f t="shared" si="0"/>
        <v>0</v>
      </c>
      <c r="G19" s="433"/>
    </row>
    <row r="20" spans="2:7" hidden="1" x14ac:dyDescent="0.45">
      <c r="C20" s="115" t="s">
        <v>593</v>
      </c>
      <c r="D20" s="15">
        <v>0.04</v>
      </c>
      <c r="E20" s="122">
        <f>E18*4%</f>
        <v>0</v>
      </c>
      <c r="F20" s="217">
        <f t="shared" si="0"/>
        <v>0</v>
      </c>
      <c r="G20" s="433"/>
    </row>
    <row r="21" spans="2:7" hidden="1" x14ac:dyDescent="0.45">
      <c r="C21" s="115" t="str">
        <f>IF(Input!$D$13&gt;0,"Improvement Cost:","")</f>
        <v/>
      </c>
      <c r="E21" s="122">
        <f>Input!D13</f>
        <v>0</v>
      </c>
      <c r="F21" s="217">
        <f t="shared" si="0"/>
        <v>0</v>
      </c>
      <c r="G21" s="433"/>
    </row>
    <row r="22" spans="2:7" s="24" customFormat="1" hidden="1" x14ac:dyDescent="0.45">
      <c r="C22" s="148" t="str">
        <f>IF(Input!$D$13&gt;0,"Less "&amp;D22*100&amp;"% Improvement Cost Discount:","")</f>
        <v/>
      </c>
      <c r="D22" s="21">
        <f>IF(Input!D13&gt;0,Input!F5,0)</f>
        <v>0</v>
      </c>
      <c r="E22" s="149">
        <f>E21*50%</f>
        <v>0</v>
      </c>
      <c r="F22" s="217">
        <f t="shared" si="0"/>
        <v>0</v>
      </c>
      <c r="G22" s="434"/>
    </row>
    <row r="23" spans="2:7" s="11" customFormat="1" hidden="1" x14ac:dyDescent="0.45">
      <c r="C23" s="11" t="s">
        <v>580</v>
      </c>
      <c r="D23" s="17"/>
      <c r="E23" s="127">
        <f>ROUND(E18+E19+E20+E21-E22,-2)</f>
        <v>0</v>
      </c>
      <c r="F23" s="220">
        <f t="shared" si="0"/>
        <v>0</v>
      </c>
      <c r="G23" s="435"/>
    </row>
    <row r="24" spans="2:7" ht="9.75" hidden="1" customHeight="1" x14ac:dyDescent="0.45">
      <c r="E24" s="122"/>
      <c r="F24" s="217">
        <f t="shared" si="0"/>
        <v>0</v>
      </c>
    </row>
    <row r="25" spans="2:7" hidden="1" x14ac:dyDescent="0.45">
      <c r="C25" s="8" t="s">
        <v>597</v>
      </c>
      <c r="E25" s="122">
        <f>E23</f>
        <v>0</v>
      </c>
      <c r="F25" s="217">
        <f t="shared" si="0"/>
        <v>0</v>
      </c>
    </row>
    <row r="26" spans="2:7" s="23" customFormat="1" hidden="1" x14ac:dyDescent="0.45">
      <c r="C26" s="115" t="s">
        <v>581</v>
      </c>
      <c r="D26" s="215">
        <v>50000</v>
      </c>
      <c r="E26" s="122">
        <f>IF($B$11="PAYMENT TERM NOT AVAILABLE FOR THIS PROPERTY",D14,D26)</f>
        <v>0</v>
      </c>
      <c r="F26" s="217">
        <f t="shared" si="0"/>
        <v>0</v>
      </c>
      <c r="G26" s="436"/>
    </row>
    <row r="27" spans="2:7" s="11" customFormat="1" hidden="1" x14ac:dyDescent="0.45">
      <c r="C27" s="11" t="s">
        <v>596</v>
      </c>
      <c r="D27" s="17"/>
      <c r="E27" s="127">
        <f>E25-E26</f>
        <v>0</v>
      </c>
      <c r="F27" s="220">
        <f t="shared" si="0"/>
        <v>0</v>
      </c>
      <c r="G27" s="427"/>
    </row>
    <row r="28" spans="2:7" hidden="1" x14ac:dyDescent="0.45">
      <c r="C28" s="117" t="s">
        <v>585</v>
      </c>
    </row>
    <row r="29" spans="2:7" ht="9.75" hidden="1" customHeight="1" x14ac:dyDescent="0.45"/>
    <row r="30" spans="2:7" x14ac:dyDescent="0.45">
      <c r="B30" s="511" t="str">
        <f>IF(AND(Input!$D$7=Input!$H$3,Input!$E$8="B-"),"95% DP / 5% due upon turnover (with 9% Discount)","PAYMENT TERM NOT AVAILABLE FOR THIS PROPERTY")</f>
        <v>95% DP / 5% due upon turnover (with 9% Discount)</v>
      </c>
      <c r="C30" s="511"/>
      <c r="D30" s="511"/>
      <c r="E30" s="511"/>
      <c r="F30" s="511"/>
      <c r="G30" s="511"/>
    </row>
    <row r="31" spans="2:7" ht="9.75" customHeight="1" x14ac:dyDescent="0.45"/>
    <row r="32" spans="2:7" ht="20.149999999999999" customHeight="1" x14ac:dyDescent="0.45">
      <c r="C32" s="18"/>
      <c r="E32" s="125" t="s">
        <v>579</v>
      </c>
      <c r="F32" s="126" t="s">
        <v>655</v>
      </c>
    </row>
    <row r="33" spans="3:7" s="11" customFormat="1" x14ac:dyDescent="0.45">
      <c r="C33" s="11" t="s">
        <v>583</v>
      </c>
      <c r="D33" s="17">
        <v>0</v>
      </c>
      <c r="E33" s="118">
        <f>IF(B30="PAYMENT TERM NOT AVAILABLE FOR THIS PROPERTY",D33,Input!D12)</f>
        <v>5641104</v>
      </c>
      <c r="F33" s="217">
        <f>E33/50</f>
        <v>112822.08</v>
      </c>
      <c r="G33" s="427"/>
    </row>
    <row r="34" spans="3:7" s="24" customFormat="1" x14ac:dyDescent="0.45">
      <c r="C34" s="243" t="s">
        <v>764</v>
      </c>
      <c r="D34" s="21">
        <v>0.09</v>
      </c>
      <c r="E34" s="149">
        <f>D34*E33</f>
        <v>507699.36</v>
      </c>
      <c r="F34" s="217">
        <f t="shared" ref="F34:F46" si="1">E34/50</f>
        <v>10153.9872</v>
      </c>
      <c r="G34" s="432"/>
    </row>
    <row r="35" spans="3:7" s="11" customFormat="1" hidden="1" x14ac:dyDescent="0.45">
      <c r="C35" s="11" t="s">
        <v>898</v>
      </c>
      <c r="D35" s="17"/>
      <c r="E35" s="127">
        <f>E33-E34</f>
        <v>5133404.6399999997</v>
      </c>
      <c r="F35" s="431">
        <f t="shared" si="1"/>
        <v>102668.0928</v>
      </c>
      <c r="G35" s="435"/>
    </row>
    <row r="36" spans="3:7" s="24" customFormat="1" hidden="1" x14ac:dyDescent="0.45">
      <c r="C36" s="243" t="s">
        <v>901</v>
      </c>
      <c r="D36" s="21"/>
      <c r="E36" s="149"/>
      <c r="F36" s="217">
        <f t="shared" si="1"/>
        <v>0</v>
      </c>
      <c r="G36" s="423"/>
    </row>
    <row r="37" spans="3:7" s="11" customFormat="1" x14ac:dyDescent="0.45">
      <c r="C37" s="11" t="s">
        <v>584</v>
      </c>
      <c r="D37" s="17"/>
      <c r="E37" s="127">
        <f>E35-E36</f>
        <v>5133404.6399999997</v>
      </c>
      <c r="F37" s="431">
        <f t="shared" si="1"/>
        <v>102668.0928</v>
      </c>
      <c r="G37" s="435"/>
    </row>
    <row r="38" spans="3:7" x14ac:dyDescent="0.45">
      <c r="C38" s="115" t="s">
        <v>592</v>
      </c>
      <c r="D38" s="22">
        <v>0.12</v>
      </c>
      <c r="E38" s="122">
        <f>D38*E37</f>
        <v>616008.5567999999</v>
      </c>
      <c r="F38" s="217">
        <f t="shared" si="1"/>
        <v>12320.171135999997</v>
      </c>
      <c r="G38" s="433"/>
    </row>
    <row r="39" spans="3:7" x14ac:dyDescent="0.45">
      <c r="C39" s="115" t="s">
        <v>593</v>
      </c>
      <c r="D39" s="15">
        <v>0.04</v>
      </c>
      <c r="E39" s="122">
        <f>E37*D39</f>
        <v>205336.1856</v>
      </c>
      <c r="F39" s="217">
        <f t="shared" si="1"/>
        <v>4106.723712</v>
      </c>
      <c r="G39" s="433"/>
    </row>
    <row r="40" spans="3:7" hidden="1" x14ac:dyDescent="0.45">
      <c r="C40" s="115" t="str">
        <f>IF(Input!$D$13&gt;0,"Improvement Cost:","")</f>
        <v/>
      </c>
      <c r="E40" s="122"/>
      <c r="F40" s="217">
        <f t="shared" si="1"/>
        <v>0</v>
      </c>
      <c r="G40" s="433"/>
    </row>
    <row r="41" spans="3:7" s="24" customFormat="1" hidden="1" x14ac:dyDescent="0.45">
      <c r="C41" s="148" t="str">
        <f>IF(Input!$D$13&gt;0,"Less "&amp;D41*100&amp;"% Improvement Cost Discount:","")</f>
        <v/>
      </c>
      <c r="D41" s="21" t="e">
        <f>IF(Input!#REF!&gt;0,Input!F24,0)</f>
        <v>#REF!</v>
      </c>
      <c r="E41" s="149"/>
      <c r="F41" s="217">
        <f t="shared" si="1"/>
        <v>0</v>
      </c>
      <c r="G41" s="434"/>
    </row>
    <row r="42" spans="3:7" s="24" customFormat="1" x14ac:dyDescent="0.45">
      <c r="C42" s="148" t="s">
        <v>932</v>
      </c>
      <c r="D42" s="21"/>
      <c r="E42" s="481">
        <f>IF(B30="PAYMENT TERM NOT AVAILABLE FOR THIS PROPERTY",$D$33,25000)</f>
        <v>25000</v>
      </c>
      <c r="F42" s="219">
        <f t="shared" si="1"/>
        <v>500</v>
      </c>
      <c r="G42" s="434"/>
    </row>
    <row r="43" spans="3:7" s="11" customFormat="1" x14ac:dyDescent="0.45">
      <c r="C43" s="11" t="s">
        <v>580</v>
      </c>
      <c r="D43" s="17"/>
      <c r="E43" s="127">
        <f>ROUND(E37+E38+E39+E40-E41-E42,-2)</f>
        <v>5929700</v>
      </c>
      <c r="F43" s="220">
        <f t="shared" si="1"/>
        <v>118594</v>
      </c>
      <c r="G43" s="435"/>
    </row>
    <row r="44" spans="3:7" ht="9.75" customHeight="1" x14ac:dyDescent="0.45">
      <c r="E44" s="122"/>
      <c r="F44" s="217">
        <f t="shared" si="1"/>
        <v>0</v>
      </c>
    </row>
    <row r="45" spans="3:7" x14ac:dyDescent="0.45">
      <c r="C45" s="8" t="s">
        <v>765</v>
      </c>
      <c r="D45" s="15">
        <v>0.95</v>
      </c>
      <c r="E45" s="122">
        <f>E43*D45</f>
        <v>5633215</v>
      </c>
      <c r="F45" s="217">
        <f t="shared" si="1"/>
        <v>112664.3</v>
      </c>
    </row>
    <row r="46" spans="3:7" s="23" customFormat="1" x14ac:dyDescent="0.45">
      <c r="C46" s="115" t="s">
        <v>581</v>
      </c>
      <c r="D46" s="215">
        <v>25000</v>
      </c>
      <c r="E46" s="150">
        <f>IF($B$30="PAYMENT TERM NOT AVAILABLE FOR THIS PROPERTY",D33,D46)</f>
        <v>25000</v>
      </c>
      <c r="F46" s="217">
        <f t="shared" si="1"/>
        <v>500</v>
      </c>
      <c r="G46" s="436"/>
    </row>
    <row r="47" spans="3:7" s="11" customFormat="1" x14ac:dyDescent="0.45">
      <c r="C47" s="11" t="s">
        <v>596</v>
      </c>
      <c r="D47" s="17"/>
      <c r="E47" s="127">
        <f>E45-E46</f>
        <v>5608215</v>
      </c>
      <c r="F47" s="220">
        <f>E47/50</f>
        <v>112164.3</v>
      </c>
      <c r="G47" s="427"/>
    </row>
    <row r="48" spans="3:7" x14ac:dyDescent="0.45">
      <c r="C48" s="117" t="s">
        <v>897</v>
      </c>
    </row>
    <row r="49" spans="2:7" x14ac:dyDescent="0.45">
      <c r="C49" s="117"/>
    </row>
    <row r="50" spans="2:7" x14ac:dyDescent="0.45">
      <c r="C50" s="246" t="s">
        <v>777</v>
      </c>
      <c r="E50" s="12">
        <f>IF(B345="PAYMENT TERM NOT AVAILABLE FOR THIS PROPERTY","0",(E43*5%))</f>
        <v>296485</v>
      </c>
      <c r="F50" s="219">
        <f>E50/50</f>
        <v>5929.7</v>
      </c>
      <c r="G50" s="433"/>
    </row>
    <row r="51" spans="2:7" x14ac:dyDescent="0.45">
      <c r="C51" s="117" t="s">
        <v>896</v>
      </c>
      <c r="E51" s="12"/>
      <c r="F51" s="219"/>
    </row>
    <row r="52" spans="2:7" hidden="1" x14ac:dyDescent="0.45">
      <c r="B52" s="511" t="str">
        <f>"30% DP / 70% over 30 months (with "&amp;Input!F6*100&amp;"% Discount)"</f>
        <v>30% DP / 70% over 30 months (with 1% Discount)</v>
      </c>
      <c r="C52" s="511"/>
      <c r="D52" s="511"/>
      <c r="E52" s="511"/>
      <c r="F52" s="511"/>
      <c r="G52" s="511"/>
    </row>
    <row r="53" spans="2:7" ht="9.75" hidden="1" customHeight="1" x14ac:dyDescent="0.45"/>
    <row r="54" spans="2:7" hidden="1" x14ac:dyDescent="0.45">
      <c r="E54" s="125" t="s">
        <v>579</v>
      </c>
      <c r="F54" s="126" t="s">
        <v>655</v>
      </c>
    </row>
    <row r="55" spans="2:7" s="11" customFormat="1" hidden="1" x14ac:dyDescent="0.45">
      <c r="C55" s="11" t="s">
        <v>583</v>
      </c>
      <c r="D55" s="17"/>
      <c r="E55" s="12">
        <f>E14</f>
        <v>0</v>
      </c>
      <c r="F55" s="217">
        <f>E55/50</f>
        <v>0</v>
      </c>
      <c r="G55" s="427"/>
    </row>
    <row r="56" spans="2:7" s="24" customFormat="1" hidden="1" x14ac:dyDescent="0.45">
      <c r="C56" s="148" t="str">
        <f>IF(D56&gt;0,"Less "&amp;D56*100&amp;"% Discount:","")</f>
        <v>Less 1% Discount:</v>
      </c>
      <c r="D56" s="26">
        <f>Input!F6</f>
        <v>0.01</v>
      </c>
      <c r="E56" s="151">
        <f>D56*E55</f>
        <v>0</v>
      </c>
      <c r="F56" s="218">
        <f t="shared" ref="F56:F72" si="2">E56/50</f>
        <v>0</v>
      </c>
      <c r="G56" s="432"/>
    </row>
    <row r="57" spans="2:7" s="24" customFormat="1" hidden="1" x14ac:dyDescent="0.45">
      <c r="C57" s="116" t="str">
        <f>IF(D57&gt;0,"Less "&amp;D57*100&amp;"% Discount:","")</f>
        <v/>
      </c>
      <c r="D57" s="26">
        <v>0</v>
      </c>
      <c r="E57" s="102">
        <f>D57*(E55-E56)</f>
        <v>0</v>
      </c>
      <c r="F57" s="217">
        <f t="shared" si="2"/>
        <v>0</v>
      </c>
      <c r="G57" s="432"/>
    </row>
    <row r="58" spans="2:7" s="24" customFormat="1" hidden="1" x14ac:dyDescent="0.45">
      <c r="C58" s="116" t="str">
        <f>IF(D58&gt;0,"Less "&amp;D58*100&amp;"% Discount:","")</f>
        <v/>
      </c>
      <c r="D58" s="26">
        <v>0</v>
      </c>
      <c r="E58" s="25">
        <f>D58*(E55-E56-E57)</f>
        <v>0</v>
      </c>
      <c r="F58" s="217">
        <f t="shared" si="2"/>
        <v>0</v>
      </c>
      <c r="G58" s="432"/>
    </row>
    <row r="59" spans="2:7" hidden="1" x14ac:dyDescent="0.45">
      <c r="C59" s="187" t="s">
        <v>584</v>
      </c>
      <c r="E59" s="114">
        <f>E55-E56-E57-E58</f>
        <v>0</v>
      </c>
      <c r="F59" s="217">
        <f t="shared" si="2"/>
        <v>0</v>
      </c>
    </row>
    <row r="60" spans="2:7" hidden="1" x14ac:dyDescent="0.45">
      <c r="C60" s="115" t="s">
        <v>592</v>
      </c>
      <c r="D60" s="22">
        <v>0.12</v>
      </c>
      <c r="E60" s="9">
        <f>E59*D60</f>
        <v>0</v>
      </c>
      <c r="F60" s="217">
        <f t="shared" si="2"/>
        <v>0</v>
      </c>
    </row>
    <row r="61" spans="2:7" hidden="1" x14ac:dyDescent="0.45">
      <c r="C61" s="115" t="s">
        <v>593</v>
      </c>
      <c r="D61" s="15"/>
      <c r="E61" s="210">
        <f>E59*4%</f>
        <v>0</v>
      </c>
      <c r="F61" s="218">
        <f t="shared" si="2"/>
        <v>0</v>
      </c>
    </row>
    <row r="62" spans="2:7" hidden="1" x14ac:dyDescent="0.45">
      <c r="C62" s="115" t="str">
        <f>IF(Input!$D$13&gt;0,"Improvement Cost:","")</f>
        <v/>
      </c>
      <c r="E62" s="9">
        <f>Input!D13</f>
        <v>0</v>
      </c>
      <c r="F62" s="217">
        <f t="shared" si="2"/>
        <v>0</v>
      </c>
    </row>
    <row r="63" spans="2:7" s="24" customFormat="1" hidden="1" x14ac:dyDescent="0.45">
      <c r="C63" s="148" t="str">
        <f>IF(Input!$D$13&gt;0,"Less "&amp;D63*100&amp;"% Improvement Cost Discount:","")</f>
        <v/>
      </c>
      <c r="D63" s="21">
        <f>IF(Input!D13&gt;0,Input!F5,0)</f>
        <v>0</v>
      </c>
      <c r="E63" s="212">
        <f>E62*50%</f>
        <v>0</v>
      </c>
      <c r="F63" s="219">
        <f t="shared" si="2"/>
        <v>0</v>
      </c>
      <c r="G63" s="432"/>
    </row>
    <row r="64" spans="2:7" s="11" customFormat="1" hidden="1" x14ac:dyDescent="0.45">
      <c r="C64" s="11" t="s">
        <v>580</v>
      </c>
      <c r="D64" s="17"/>
      <c r="E64" s="213">
        <f>ROUND(E59+E60+E61+E62-E63,-2)</f>
        <v>0</v>
      </c>
      <c r="F64" s="220">
        <f t="shared" si="2"/>
        <v>0</v>
      </c>
      <c r="G64" s="427"/>
    </row>
    <row r="65" spans="2:9" ht="9.75" hidden="1" customHeight="1" x14ac:dyDescent="0.45">
      <c r="F65" s="217"/>
    </row>
    <row r="66" spans="2:9" hidden="1" x14ac:dyDescent="0.45">
      <c r="C66" s="216" t="str">
        <f>D66*100&amp;"% Downpayment:"</f>
        <v>30% Downpayment:</v>
      </c>
      <c r="D66" s="15">
        <v>0.3</v>
      </c>
      <c r="E66" s="9">
        <f>D66*E64</f>
        <v>0</v>
      </c>
      <c r="F66" s="217">
        <f t="shared" si="2"/>
        <v>0</v>
      </c>
    </row>
    <row r="67" spans="2:9" s="23" customFormat="1" hidden="1" x14ac:dyDescent="0.45">
      <c r="C67" s="208" t="s">
        <v>581</v>
      </c>
      <c r="D67" s="215"/>
      <c r="E67" s="211">
        <f>E26</f>
        <v>0</v>
      </c>
      <c r="F67" s="218">
        <f t="shared" si="2"/>
        <v>0</v>
      </c>
      <c r="G67" s="436"/>
    </row>
    <row r="68" spans="2:9" s="11" customFormat="1" hidden="1" x14ac:dyDescent="0.45">
      <c r="C68" s="11" t="s">
        <v>596</v>
      </c>
      <c r="D68" s="17"/>
      <c r="E68" s="12">
        <f>E66-E67</f>
        <v>0</v>
      </c>
      <c r="F68" s="217">
        <f t="shared" si="2"/>
        <v>0</v>
      </c>
      <c r="G68" s="427"/>
    </row>
    <row r="69" spans="2:9" hidden="1" x14ac:dyDescent="0.45">
      <c r="C69" s="13" t="s">
        <v>585</v>
      </c>
      <c r="F69" s="217"/>
    </row>
    <row r="70" spans="2:9" ht="9.75" hidden="1" customHeight="1" x14ac:dyDescent="0.45">
      <c r="F70" s="217"/>
    </row>
    <row r="71" spans="2:9" hidden="1" x14ac:dyDescent="0.45">
      <c r="C71" s="8" t="str">
        <f>D71*100&amp;"% Amortization:"</f>
        <v>70% Amortization:</v>
      </c>
      <c r="D71" s="15">
        <v>0.7</v>
      </c>
      <c r="E71" s="9">
        <f>D71*E64</f>
        <v>0</v>
      </c>
      <c r="F71" s="217">
        <f t="shared" si="2"/>
        <v>0</v>
      </c>
      <c r="H71" s="18"/>
    </row>
    <row r="72" spans="2:9" s="11" customFormat="1" hidden="1" x14ac:dyDescent="0.45">
      <c r="C72" s="11" t="str">
        <f>"Payable* per month in "&amp;D72&amp;" months"</f>
        <v>Payable* per month in 30 months</v>
      </c>
      <c r="D72" s="17">
        <v>30</v>
      </c>
      <c r="E72" s="133">
        <f>(E71/30)</f>
        <v>0</v>
      </c>
      <c r="F72" s="217">
        <f t="shared" si="2"/>
        <v>0</v>
      </c>
      <c r="G72" s="435"/>
      <c r="H72" s="19"/>
    </row>
    <row r="73" spans="2:9" hidden="1" x14ac:dyDescent="0.45">
      <c r="C73" s="13" t="s">
        <v>594</v>
      </c>
      <c r="E73" s="185">
        <f>(E64-E66)*Input!D14*0</f>
        <v>0</v>
      </c>
      <c r="G73" s="433"/>
      <c r="H73" s="18"/>
      <c r="I73" s="18"/>
    </row>
    <row r="74" spans="2:9" ht="9.75" hidden="1" customHeight="1" x14ac:dyDescent="0.45"/>
    <row r="75" spans="2:9" hidden="1" x14ac:dyDescent="0.45">
      <c r="B75" s="512" t="str">
        <f>IF(OR(Input!D7="Sunshine Place",Input!D7="West Parc",Input!D7="Woodmore Spring",Input!D7="Meridien"),"25% DP / 25% over 18 months / 50% Lumpsum",IF(Input!D7="Prominence II","10% DP / 10% over 12 months / 80% Lumpsum","20% DP / 40% over 18 months / 40% Lumpsum"))</f>
        <v>20% DP / 40% over 18 months / 40% Lumpsum</v>
      </c>
      <c r="C75" s="512"/>
      <c r="D75" s="512"/>
      <c r="E75" s="512"/>
      <c r="F75" s="512"/>
      <c r="G75" s="512"/>
    </row>
    <row r="76" spans="2:9" ht="18" hidden="1" customHeight="1" x14ac:dyDescent="0.45">
      <c r="E76" s="125" t="s">
        <v>579</v>
      </c>
      <c r="F76" s="126" t="s">
        <v>655</v>
      </c>
    </row>
    <row r="77" spans="2:9" hidden="1" x14ac:dyDescent="0.45">
      <c r="C77" s="11" t="s">
        <v>583</v>
      </c>
      <c r="D77" s="17"/>
      <c r="E77" s="12">
        <f>E14</f>
        <v>0</v>
      </c>
      <c r="F77" s="217">
        <f>E77/50</f>
        <v>0</v>
      </c>
    </row>
    <row r="78" spans="2:9" hidden="1" x14ac:dyDescent="0.45">
      <c r="C78" s="23" t="str">
        <f>IF(D78&gt;0,"Less "&amp;D78*100&amp;"% Discount:","")</f>
        <v/>
      </c>
      <c r="D78" s="21">
        <v>0</v>
      </c>
      <c r="E78" s="102">
        <f>D78*E77</f>
        <v>0</v>
      </c>
      <c r="F78" s="218">
        <f t="shared" ref="F78:F84" si="3">E78/50</f>
        <v>0</v>
      </c>
    </row>
    <row r="79" spans="2:9" hidden="1" x14ac:dyDescent="0.45">
      <c r="C79" s="23" t="str">
        <f>IF(D79&gt;0,"Less "&amp;D79*100&amp;"% Discount:","")</f>
        <v/>
      </c>
      <c r="D79" s="21">
        <v>0</v>
      </c>
      <c r="E79" s="102">
        <f>D79*(E77-E78)</f>
        <v>0</v>
      </c>
      <c r="F79" s="217">
        <f t="shared" si="3"/>
        <v>0</v>
      </c>
    </row>
    <row r="80" spans="2:9" hidden="1" x14ac:dyDescent="0.45">
      <c r="C80" s="23" t="str">
        <f>IF(D80&gt;0,"Less "&amp;D80*100&amp;"% Discount:","")</f>
        <v/>
      </c>
      <c r="D80" s="21">
        <v>0</v>
      </c>
      <c r="E80" s="25">
        <f>D80*(E77-E78-E79)</f>
        <v>0</v>
      </c>
      <c r="F80" s="218">
        <f t="shared" si="3"/>
        <v>0</v>
      </c>
    </row>
    <row r="81" spans="3:7" hidden="1" x14ac:dyDescent="0.45">
      <c r="C81" s="84" t="s">
        <v>584</v>
      </c>
      <c r="E81" s="9">
        <f>E77-E78-E79-E80</f>
        <v>0</v>
      </c>
      <c r="F81" s="217">
        <f t="shared" si="3"/>
        <v>0</v>
      </c>
    </row>
    <row r="82" spans="3:7" hidden="1" x14ac:dyDescent="0.45">
      <c r="C82" s="208" t="s">
        <v>592</v>
      </c>
      <c r="D82" s="22">
        <v>0.12</v>
      </c>
      <c r="E82" s="9">
        <f>E81*D82</f>
        <v>0</v>
      </c>
      <c r="F82" s="217">
        <f t="shared" si="3"/>
        <v>0</v>
      </c>
    </row>
    <row r="83" spans="3:7" hidden="1" x14ac:dyDescent="0.45">
      <c r="C83" s="208" t="s">
        <v>593</v>
      </c>
      <c r="D83" s="15">
        <v>0.04</v>
      </c>
      <c r="E83" s="146">
        <f>E81*D83</f>
        <v>0</v>
      </c>
      <c r="F83" s="219">
        <f t="shared" si="3"/>
        <v>0</v>
      </c>
    </row>
    <row r="84" spans="3:7" hidden="1" x14ac:dyDescent="0.45">
      <c r="C84" s="208" t="str">
        <f>IF(Input!$D$13&gt;0,"Improvement Cost:","")</f>
        <v/>
      </c>
      <c r="E84" s="9">
        <f>Input!D13</f>
        <v>0</v>
      </c>
      <c r="F84" s="217">
        <f t="shared" si="3"/>
        <v>0</v>
      </c>
    </row>
    <row r="85" spans="3:7" s="24" customFormat="1" hidden="1" x14ac:dyDescent="0.45">
      <c r="C85" s="209" t="str">
        <f>IF(Input!$D$13&gt;0,"Less "&amp;D85*100&amp;"% Improvement Cost Discount:","")</f>
        <v/>
      </c>
      <c r="D85" s="21">
        <f>IF(Input!D13&gt;0,Input!F5,0)</f>
        <v>0</v>
      </c>
      <c r="E85" s="212">
        <f>E84*D85</f>
        <v>0</v>
      </c>
      <c r="F85" s="219">
        <f>E85/50</f>
        <v>0</v>
      </c>
      <c r="G85" s="432"/>
    </row>
    <row r="86" spans="3:7" hidden="1" x14ac:dyDescent="0.45">
      <c r="C86" s="11" t="s">
        <v>580</v>
      </c>
      <c r="D86" s="17"/>
      <c r="E86" s="213">
        <f>ROUND(E81+E82+E83+E84-E85,-2)</f>
        <v>0</v>
      </c>
      <c r="F86" s="220">
        <f>ROUND(F81+F82+F83+F84-F85,-2)</f>
        <v>0</v>
      </c>
    </row>
    <row r="87" spans="3:7" ht="9.75" hidden="1" customHeight="1" x14ac:dyDescent="0.45">
      <c r="F87" s="217"/>
    </row>
    <row r="88" spans="3:7" hidden="1" x14ac:dyDescent="0.45">
      <c r="C88" s="14" t="str">
        <f>D88*100&amp;"% Downpayment"</f>
        <v>20% Downpayment</v>
      </c>
      <c r="D88" s="238">
        <f>IF(OR(Input!D7="The Meridien",Input!D7="Sunshine Place",Input!D7="West Parc",Input!D7="Woodmore Spring"),25%,IF(Input!D7="The Arborage",20%,10%))</f>
        <v>0.2</v>
      </c>
      <c r="E88" s="9">
        <f>D88*E86</f>
        <v>0</v>
      </c>
      <c r="F88" s="217">
        <f>E88/50</f>
        <v>0</v>
      </c>
    </row>
    <row r="89" spans="3:7" s="24" customFormat="1" hidden="1" x14ac:dyDescent="0.45">
      <c r="C89" s="187" t="s">
        <v>581</v>
      </c>
      <c r="D89" s="16"/>
      <c r="E89" s="9">
        <f>E26</f>
        <v>0</v>
      </c>
      <c r="F89" s="217">
        <f>E89/50</f>
        <v>0</v>
      </c>
      <c r="G89" s="432"/>
    </row>
    <row r="90" spans="3:7" hidden="1" x14ac:dyDescent="0.45">
      <c r="C90" s="11" t="s">
        <v>582</v>
      </c>
      <c r="D90" s="17"/>
      <c r="E90" s="213">
        <f>E88-E89</f>
        <v>0</v>
      </c>
      <c r="F90" s="220">
        <f>E90/50</f>
        <v>0</v>
      </c>
    </row>
    <row r="91" spans="3:7" hidden="1" x14ac:dyDescent="0.45">
      <c r="C91" s="13" t="s">
        <v>585</v>
      </c>
      <c r="F91" s="217"/>
    </row>
    <row r="92" spans="3:7" ht="4.5" hidden="1" customHeight="1" x14ac:dyDescent="0.45">
      <c r="F92" s="217"/>
    </row>
    <row r="93" spans="3:7" hidden="1" x14ac:dyDescent="0.45">
      <c r="C93" s="8" t="str">
        <f>D93*100&amp;"% Amortization"</f>
        <v>10% Amortization</v>
      </c>
      <c r="D93" s="15">
        <f>IF(OR(Input!D7="Meridien",Input!D7="Sunshine Place",Input!D7="West Parc",Input!D7="Woodmore Spring"),25%,IF(Input!D7="Arborage A",40%,10%))</f>
        <v>0.1</v>
      </c>
      <c r="E93" s="9">
        <f>D93*E86</f>
        <v>0</v>
      </c>
      <c r="F93" s="217">
        <f>E93/50</f>
        <v>0</v>
      </c>
      <c r="G93" s="433"/>
    </row>
    <row r="94" spans="3:7" hidden="1" x14ac:dyDescent="0.45">
      <c r="C94" s="11" t="str">
        <f>"Payable in "&amp;D94&amp;" months at 0% interest"</f>
        <v>Payable in 18 months at 0% interest</v>
      </c>
      <c r="D94" s="17">
        <f>IF(Input!D7="Prominence II",12,18)</f>
        <v>18</v>
      </c>
      <c r="E94" s="12">
        <f>E93/D94</f>
        <v>0</v>
      </c>
      <c r="F94" s="217">
        <f>E94/50</f>
        <v>0</v>
      </c>
      <c r="G94" s="433"/>
    </row>
    <row r="95" spans="3:7" ht="9.75" hidden="1" customHeight="1" x14ac:dyDescent="0.45">
      <c r="F95" s="217"/>
    </row>
    <row r="96" spans="3:7" s="11" customFormat="1" hidden="1" x14ac:dyDescent="0.45">
      <c r="C96" s="11" t="str">
        <f>D96*100&amp;"% Turnover Balance"</f>
        <v>70% Turnover Balance</v>
      </c>
      <c r="D96" s="15">
        <f>1-D93-D88</f>
        <v>0.7</v>
      </c>
      <c r="E96" s="20">
        <f>E86*D96</f>
        <v>0</v>
      </c>
      <c r="F96" s="217">
        <f>E96/50</f>
        <v>0</v>
      </c>
      <c r="G96" s="435"/>
    </row>
    <row r="97" spans="2:8" ht="9.75" hidden="1" customHeight="1" x14ac:dyDescent="0.45"/>
    <row r="98" spans="2:8" hidden="1" x14ac:dyDescent="0.45">
      <c r="B98" s="511" t="s">
        <v>742</v>
      </c>
      <c r="C98" s="511"/>
      <c r="D98" s="511"/>
      <c r="E98" s="511"/>
      <c r="F98" s="511"/>
      <c r="G98" s="511"/>
    </row>
    <row r="99" spans="2:8" ht="9.75" hidden="1" customHeight="1" x14ac:dyDescent="0.45"/>
    <row r="100" spans="2:8" hidden="1" x14ac:dyDescent="0.45">
      <c r="E100" s="125" t="s">
        <v>579</v>
      </c>
      <c r="F100" s="126" t="s">
        <v>655</v>
      </c>
    </row>
    <row r="101" spans="2:8" s="11" customFormat="1" hidden="1" x14ac:dyDescent="0.45">
      <c r="C101" s="11" t="s">
        <v>583</v>
      </c>
      <c r="D101" s="17">
        <v>0</v>
      </c>
      <c r="E101" s="12">
        <f>E14</f>
        <v>0</v>
      </c>
      <c r="F101" s="217">
        <f>E101/50</f>
        <v>0</v>
      </c>
      <c r="G101" s="427"/>
    </row>
    <row r="102" spans="2:8" s="24" customFormat="1" hidden="1" x14ac:dyDescent="0.45">
      <c r="C102" s="148"/>
      <c r="D102" s="26"/>
      <c r="E102" s="151"/>
      <c r="F102" s="218"/>
      <c r="G102" s="432"/>
    </row>
    <row r="103" spans="2:8" s="24" customFormat="1" ht="18.649999999999999" hidden="1" customHeight="1" x14ac:dyDescent="0.45">
      <c r="C103" s="116" t="str">
        <f>IF(D103&gt;0,"Less "&amp;D103*100&amp;"% Discount:","")</f>
        <v/>
      </c>
      <c r="D103" s="26">
        <v>0</v>
      </c>
      <c r="E103" s="102">
        <f>D103*(E101-E102)</f>
        <v>0</v>
      </c>
      <c r="F103" s="217">
        <f t="shared" ref="F103:F110" si="4">E103/50</f>
        <v>0</v>
      </c>
      <c r="G103" s="432"/>
    </row>
    <row r="104" spans="2:8" s="24" customFormat="1" ht="18.649999999999999" hidden="1" customHeight="1" x14ac:dyDescent="0.45">
      <c r="C104" s="116" t="str">
        <f>IF(D104&gt;0,"Less "&amp;D104*100&amp;"% Discount:","")</f>
        <v/>
      </c>
      <c r="D104" s="26">
        <v>0</v>
      </c>
      <c r="E104" s="25">
        <f>D104*(E101-E102-E103)</f>
        <v>0</v>
      </c>
      <c r="F104" s="217">
        <f t="shared" si="4"/>
        <v>0</v>
      </c>
      <c r="G104" s="432"/>
    </row>
    <row r="105" spans="2:8" hidden="1" x14ac:dyDescent="0.45">
      <c r="C105" s="187" t="s">
        <v>584</v>
      </c>
      <c r="E105" s="114">
        <f>E101-E102-E103-E104</f>
        <v>0</v>
      </c>
      <c r="F105" s="217">
        <f>E105/50</f>
        <v>0</v>
      </c>
    </row>
    <row r="106" spans="2:8" hidden="1" x14ac:dyDescent="0.45">
      <c r="C106" s="115" t="s">
        <v>592</v>
      </c>
      <c r="D106" s="22">
        <v>0.12</v>
      </c>
      <c r="E106" s="9">
        <f>E105*D106</f>
        <v>0</v>
      </c>
      <c r="F106" s="217">
        <f t="shared" si="4"/>
        <v>0</v>
      </c>
    </row>
    <row r="107" spans="2:8" hidden="1" x14ac:dyDescent="0.45">
      <c r="C107" s="115" t="s">
        <v>593</v>
      </c>
      <c r="D107" s="15">
        <v>0.04</v>
      </c>
      <c r="E107" s="146">
        <f>E105*D107</f>
        <v>0</v>
      </c>
      <c r="F107" s="219">
        <f t="shared" si="4"/>
        <v>0</v>
      </c>
    </row>
    <row r="108" spans="2:8" hidden="1" x14ac:dyDescent="0.45">
      <c r="C108" s="115" t="str">
        <f>IF(Input!$D$13&gt;0,"Improvement Cost:","")</f>
        <v/>
      </c>
      <c r="E108" s="9">
        <f>Input!D13</f>
        <v>0</v>
      </c>
      <c r="F108" s="217">
        <f t="shared" si="4"/>
        <v>0</v>
      </c>
    </row>
    <row r="109" spans="2:8" s="24" customFormat="1" hidden="1" x14ac:dyDescent="0.45">
      <c r="C109" s="148" t="str">
        <f>IF(Input!$D$13&gt;0,"Less "&amp;D109*100&amp;"% Improvement Cost Discount:","")</f>
        <v/>
      </c>
      <c r="D109" s="21">
        <f>IF(Input!D13&gt;0,Input!F5,0)</f>
        <v>0</v>
      </c>
      <c r="E109" s="212">
        <f>E108*0.5</f>
        <v>0</v>
      </c>
      <c r="F109" s="219">
        <f t="shared" si="4"/>
        <v>0</v>
      </c>
      <c r="G109" s="432"/>
    </row>
    <row r="110" spans="2:8" s="11" customFormat="1" hidden="1" x14ac:dyDescent="0.45">
      <c r="C110" s="11" t="s">
        <v>580</v>
      </c>
      <c r="D110" s="17"/>
      <c r="E110" s="213">
        <f>ROUND(E105+E106+E107+E108-E109,-2)</f>
        <v>0</v>
      </c>
      <c r="F110" s="220">
        <f t="shared" si="4"/>
        <v>0</v>
      </c>
      <c r="G110" s="427"/>
    </row>
    <row r="111" spans="2:8" ht="18" hidden="1" customHeight="1" x14ac:dyDescent="0.45">
      <c r="F111" s="217"/>
    </row>
    <row r="112" spans="2:8" hidden="1" x14ac:dyDescent="0.45">
      <c r="C112" s="8" t="str">
        <f>D112*100&amp;"% Amortization:"</f>
        <v>10% Amortization:</v>
      </c>
      <c r="D112" s="15">
        <v>0.1</v>
      </c>
      <c r="E112" s="9">
        <f>D112*E110</f>
        <v>0</v>
      </c>
      <c r="F112" s="217">
        <f t="shared" ref="F112:F117" si="5">E112/50</f>
        <v>0</v>
      </c>
      <c r="H112" s="18"/>
    </row>
    <row r="113" spans="2:9" hidden="1" x14ac:dyDescent="0.45">
      <c r="C113" s="187" t="s">
        <v>743</v>
      </c>
      <c r="D113" s="15"/>
      <c r="E113" s="9">
        <f>E89</f>
        <v>0</v>
      </c>
      <c r="F113" s="217"/>
      <c r="H113" s="18"/>
    </row>
    <row r="114" spans="2:9" s="11" customFormat="1" hidden="1" x14ac:dyDescent="0.45">
      <c r="C114" s="11" t="str">
        <f>"Payable per month in "&amp;D114&amp;" months"</f>
        <v>Payable per month in 12 months</v>
      </c>
      <c r="D114" s="16">
        <v>12</v>
      </c>
      <c r="E114" s="214">
        <f>((E112-E113)/D114)</f>
        <v>0</v>
      </c>
      <c r="F114" s="220">
        <f t="shared" si="5"/>
        <v>0</v>
      </c>
      <c r="G114" s="435"/>
      <c r="H114" s="19"/>
    </row>
    <row r="115" spans="2:9" hidden="1" x14ac:dyDescent="0.45">
      <c r="C115" s="170"/>
      <c r="E115" s="185"/>
      <c r="F115" s="221"/>
      <c r="G115" s="433"/>
      <c r="H115" s="18"/>
      <c r="I115" s="18"/>
    </row>
    <row r="116" spans="2:9" ht="9.75" hidden="1" customHeight="1" x14ac:dyDescent="0.45">
      <c r="F116" s="222"/>
    </row>
    <row r="117" spans="2:9" hidden="1" x14ac:dyDescent="0.45">
      <c r="C117" s="11" t="s">
        <v>744</v>
      </c>
      <c r="D117" s="15">
        <v>0.9</v>
      </c>
      <c r="E117" s="181">
        <f>E110*D117</f>
        <v>0</v>
      </c>
      <c r="F117" s="217">
        <f t="shared" si="5"/>
        <v>0</v>
      </c>
      <c r="G117" s="433"/>
    </row>
    <row r="118" spans="2:9" hidden="1" x14ac:dyDescent="0.45"/>
    <row r="119" spans="2:9" x14ac:dyDescent="0.45">
      <c r="B119" s="511" t="str">
        <f>IF(Input!E8="B-","30% DP / 70% over 36 months","PAYMENT TERM NOT AVAILABLE FOR THIS PROPERTY")</f>
        <v>30% DP / 70% over 36 months</v>
      </c>
      <c r="C119" s="511"/>
      <c r="D119" s="511"/>
      <c r="E119" s="511"/>
      <c r="F119" s="511"/>
      <c r="G119" s="511"/>
    </row>
    <row r="120" spans="2:9" ht="9.75" customHeight="1" x14ac:dyDescent="0.45"/>
    <row r="121" spans="2:9" x14ac:dyDescent="0.45">
      <c r="E121" s="125" t="s">
        <v>579</v>
      </c>
      <c r="F121" s="126" t="s">
        <v>655</v>
      </c>
    </row>
    <row r="122" spans="2:9" s="11" customFormat="1" x14ac:dyDescent="0.45">
      <c r="C122" s="11" t="s">
        <v>583</v>
      </c>
      <c r="D122" s="17">
        <v>0</v>
      </c>
      <c r="E122" s="12">
        <f>IF(B119="PAYMENT TERM NOT AVAILABLE FOR THIS PROPERTY",D122,Input!D12)</f>
        <v>5641104</v>
      </c>
      <c r="F122" s="217">
        <f>E122/50</f>
        <v>112822.08</v>
      </c>
      <c r="G122" s="427"/>
    </row>
    <row r="123" spans="2:9" s="11" customFormat="1" hidden="1" x14ac:dyDescent="0.45">
      <c r="D123" s="17"/>
      <c r="E123" s="12"/>
      <c r="F123" s="217"/>
      <c r="G123" s="427"/>
    </row>
    <row r="124" spans="2:9" s="24" customFormat="1" hidden="1" x14ac:dyDescent="0.45">
      <c r="C124" s="243" t="s">
        <v>901</v>
      </c>
      <c r="D124" s="21"/>
      <c r="E124" s="149"/>
      <c r="F124" s="217">
        <f t="shared" ref="F124" si="6">E124/50</f>
        <v>0</v>
      </c>
      <c r="G124" s="423"/>
    </row>
    <row r="125" spans="2:9" s="11" customFormat="1" x14ac:dyDescent="0.45">
      <c r="C125" s="427" t="s">
        <v>584</v>
      </c>
      <c r="D125" s="17"/>
      <c r="E125" s="213">
        <f>E122-E124</f>
        <v>5641104</v>
      </c>
      <c r="F125" s="431">
        <f t="shared" ref="F125:F129" si="7">E125/50</f>
        <v>112822.08</v>
      </c>
      <c r="G125" s="427"/>
    </row>
    <row r="126" spans="2:9" x14ac:dyDescent="0.45">
      <c r="C126" s="115" t="s">
        <v>592</v>
      </c>
      <c r="D126" s="22">
        <v>0.12</v>
      </c>
      <c r="E126" s="9">
        <f>E125*12%</f>
        <v>676932.48</v>
      </c>
      <c r="F126" s="217">
        <f t="shared" si="7"/>
        <v>13538.649599999999</v>
      </c>
    </row>
    <row r="127" spans="2:9" x14ac:dyDescent="0.45">
      <c r="C127" s="115" t="s">
        <v>593</v>
      </c>
      <c r="D127" s="15">
        <v>0.04</v>
      </c>
      <c r="E127" s="146">
        <f>E125*4%</f>
        <v>225644.16</v>
      </c>
      <c r="F127" s="219">
        <f t="shared" si="7"/>
        <v>4512.8832000000002</v>
      </c>
    </row>
    <row r="128" spans="2:9" x14ac:dyDescent="0.45">
      <c r="C128" s="148" t="s">
        <v>932</v>
      </c>
      <c r="D128" s="21"/>
      <c r="E128" s="481">
        <f>IF(B119="PAYMENT TERM NOT AVAILABLE FOR THIS PROPERTY",$D$33,25000)</f>
        <v>25000</v>
      </c>
      <c r="F128" s="219">
        <f t="shared" si="7"/>
        <v>500</v>
      </c>
    </row>
    <row r="129" spans="2:8" s="11" customFormat="1" x14ac:dyDescent="0.45">
      <c r="C129" s="11" t="s">
        <v>580</v>
      </c>
      <c r="D129" s="17"/>
      <c r="E129" s="213">
        <f>ROUND(E125+E126+E127,-2)</f>
        <v>6543700</v>
      </c>
      <c r="F129" s="220">
        <f t="shared" si="7"/>
        <v>130874</v>
      </c>
      <c r="G129" s="427"/>
    </row>
    <row r="130" spans="2:8" ht="15.75" customHeight="1" x14ac:dyDescent="0.45">
      <c r="F130" s="217"/>
    </row>
    <row r="131" spans="2:8" x14ac:dyDescent="0.45">
      <c r="C131" s="14" t="str">
        <f>D131*100&amp;"% Downpayment:"</f>
        <v>30% Downpayment:</v>
      </c>
      <c r="D131" s="15">
        <v>0.3</v>
      </c>
      <c r="E131" s="9">
        <f>E129*D131</f>
        <v>1963110</v>
      </c>
      <c r="F131" s="217">
        <f>E131/50</f>
        <v>39262.199999999997</v>
      </c>
    </row>
    <row r="132" spans="2:8" s="23" customFormat="1" x14ac:dyDescent="0.45">
      <c r="C132" s="115" t="s">
        <v>581</v>
      </c>
      <c r="D132" s="215"/>
      <c r="E132" s="152">
        <f>IF(B119="PAYMENT TERM NOT AVAILABLE FOR THIS PROPERTY",D122,25000)</f>
        <v>25000</v>
      </c>
      <c r="F132" s="217">
        <f>E132/50</f>
        <v>500</v>
      </c>
      <c r="G132" s="436"/>
    </row>
    <row r="133" spans="2:8" s="11" customFormat="1" x14ac:dyDescent="0.45">
      <c r="C133" s="11" t="s">
        <v>596</v>
      </c>
      <c r="D133" s="17"/>
      <c r="E133" s="213">
        <f>E131-E132</f>
        <v>1938110</v>
      </c>
      <c r="F133" s="220">
        <f>E133/50</f>
        <v>38762.199999999997</v>
      </c>
      <c r="G133" s="427"/>
    </row>
    <row r="134" spans="2:8" x14ac:dyDescent="0.45">
      <c r="C134" s="117" t="s">
        <v>897</v>
      </c>
      <c r="F134" s="217"/>
    </row>
    <row r="135" spans="2:8" ht="9.75" customHeight="1" x14ac:dyDescent="0.45">
      <c r="F135" s="217"/>
    </row>
    <row r="136" spans="2:8" x14ac:dyDescent="0.45">
      <c r="C136" s="8" t="str">
        <f>D136*100&amp;"% Amortization:"</f>
        <v>70% Amortization:</v>
      </c>
      <c r="D136" s="15">
        <v>0.7</v>
      </c>
      <c r="E136" s="9">
        <f>D136*E129</f>
        <v>4580590</v>
      </c>
      <c r="F136" s="217">
        <f>E136/50</f>
        <v>91611.8</v>
      </c>
      <c r="H136" s="18"/>
    </row>
    <row r="137" spans="2:8" s="11" customFormat="1" x14ac:dyDescent="0.45">
      <c r="C137" s="11" t="str">
        <f>"Payable* per month in "&amp;D137&amp;" months"</f>
        <v>Payable* per month in 36 months</v>
      </c>
      <c r="D137" s="16">
        <v>36</v>
      </c>
      <c r="E137" s="133">
        <f>(E136/D137)</f>
        <v>127238.61111111111</v>
      </c>
      <c r="F137" s="217">
        <f>E137/50</f>
        <v>2544.7722222222224</v>
      </c>
      <c r="G137" s="435"/>
      <c r="H137" s="19"/>
    </row>
    <row r="138" spans="2:8" s="11" customFormat="1" x14ac:dyDescent="0.45">
      <c r="D138" s="16"/>
      <c r="E138" s="133"/>
      <c r="F138" s="217"/>
      <c r="G138" s="435"/>
      <c r="H138" s="19"/>
    </row>
    <row r="139" spans="2:8" x14ac:dyDescent="0.45">
      <c r="B139" s="511" t="str">
        <f>IF(AND(Input!$E$8="B-",Input!$D$7=Input!$H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10% DP / 40% over 24 mos / 50% Lumpsum","PAYMENT TERM NOT AVAILABLE FOR THIS PROPERTY")</f>
        <v>10% DP / 40% over 24 mos / 50% Lumpsum</v>
      </c>
      <c r="C139" s="511"/>
      <c r="D139" s="511"/>
      <c r="E139" s="511"/>
      <c r="F139" s="511"/>
      <c r="G139" s="511"/>
    </row>
    <row r="140" spans="2:8" x14ac:dyDescent="0.45">
      <c r="C140" s="170" t="s">
        <v>893</v>
      </c>
    </row>
    <row r="141" spans="2:8" x14ac:dyDescent="0.45">
      <c r="E141" s="125" t="s">
        <v>579</v>
      </c>
      <c r="F141" s="126" t="s">
        <v>655</v>
      </c>
    </row>
    <row r="142" spans="2:8" s="11" customFormat="1" x14ac:dyDescent="0.45">
      <c r="C142" s="11" t="s">
        <v>583</v>
      </c>
      <c r="D142" s="17">
        <v>0</v>
      </c>
      <c r="E142" s="12">
        <f>IF(B139="PAYMENT TERM NOT AVAILABLE FOR THIS PROPERTY",0,Input!D12)</f>
        <v>5641104</v>
      </c>
      <c r="F142" s="217">
        <f>E142/50</f>
        <v>112822.08</v>
      </c>
      <c r="G142" s="427"/>
    </row>
    <row r="143" spans="2:8" s="11" customFormat="1" hidden="1" x14ac:dyDescent="0.45">
      <c r="D143" s="17"/>
      <c r="E143" s="12"/>
      <c r="F143" s="217"/>
      <c r="G143" s="427"/>
    </row>
    <row r="144" spans="2:8" s="24" customFormat="1" hidden="1" x14ac:dyDescent="0.45">
      <c r="C144" s="243" t="s">
        <v>901</v>
      </c>
      <c r="D144" s="21"/>
      <c r="E144" s="149"/>
      <c r="F144" s="217">
        <f t="shared" ref="F144" si="8">E144/50</f>
        <v>0</v>
      </c>
      <c r="G144" s="423"/>
    </row>
    <row r="145" spans="3:8" s="11" customFormat="1" x14ac:dyDescent="0.45">
      <c r="C145" s="427" t="s">
        <v>584</v>
      </c>
      <c r="D145" s="17"/>
      <c r="E145" s="213">
        <f>E142-E144</f>
        <v>5641104</v>
      </c>
      <c r="F145" s="431">
        <f t="shared" ref="F145:F149" si="9">E145/50</f>
        <v>112822.08</v>
      </c>
      <c r="G145" s="427"/>
    </row>
    <row r="146" spans="3:8" x14ac:dyDescent="0.45">
      <c r="C146" s="115" t="s">
        <v>592</v>
      </c>
      <c r="D146" s="22">
        <v>0.12</v>
      </c>
      <c r="E146" s="9">
        <f>E145*12%</f>
        <v>676932.48</v>
      </c>
      <c r="F146" s="217">
        <f t="shared" si="9"/>
        <v>13538.649599999999</v>
      </c>
    </row>
    <row r="147" spans="3:8" x14ac:dyDescent="0.45">
      <c r="C147" s="115" t="s">
        <v>593</v>
      </c>
      <c r="D147" s="15">
        <v>0.04</v>
      </c>
      <c r="E147" s="146">
        <f>E145*4%</f>
        <v>225644.16</v>
      </c>
      <c r="F147" s="219">
        <f t="shared" si="9"/>
        <v>4512.8832000000002</v>
      </c>
    </row>
    <row r="148" spans="3:8" x14ac:dyDescent="0.45">
      <c r="C148" s="148" t="s">
        <v>932</v>
      </c>
      <c r="D148" s="21"/>
      <c r="E148" s="481">
        <f>IF(B139="PAYMENT TERM NOT AVAILABLE FOR THIS PROPERTY",$D$33,25000)</f>
        <v>25000</v>
      </c>
      <c r="F148" s="219"/>
    </row>
    <row r="149" spans="3:8" s="11" customFormat="1" x14ac:dyDescent="0.45">
      <c r="C149" s="11" t="s">
        <v>580</v>
      </c>
      <c r="D149" s="17"/>
      <c r="E149" s="213">
        <f>ROUND(E145+E146+E147,-2)</f>
        <v>6543700</v>
      </c>
      <c r="F149" s="220">
        <f t="shared" si="9"/>
        <v>130874</v>
      </c>
      <c r="G149" s="427"/>
    </row>
    <row r="150" spans="3:8" ht="15.75" customHeight="1" x14ac:dyDescent="0.45">
      <c r="F150" s="217"/>
    </row>
    <row r="151" spans="3:8" x14ac:dyDescent="0.45">
      <c r="C151" s="14" t="str">
        <f>D151*100&amp;"% Downpayment:"</f>
        <v>10% Downpayment:</v>
      </c>
      <c r="D151" s="15">
        <v>0.1</v>
      </c>
      <c r="E151" s="9">
        <f>E149*D151</f>
        <v>654370</v>
      </c>
      <c r="F151" s="217">
        <f>E151/50</f>
        <v>13087.4</v>
      </c>
    </row>
    <row r="152" spans="3:8" s="23" customFormat="1" x14ac:dyDescent="0.45">
      <c r="C152" s="115" t="s">
        <v>581</v>
      </c>
      <c r="D152" s="215"/>
      <c r="E152" s="152">
        <f>IF(B139="PAYMENT TERM NOT AVAILABLE FOR THIS PROPERTY",0,D46)</f>
        <v>25000</v>
      </c>
      <c r="F152" s="217">
        <f>E152/50</f>
        <v>500</v>
      </c>
      <c r="G152" s="436"/>
    </row>
    <row r="153" spans="3:8" s="11" customFormat="1" x14ac:dyDescent="0.45">
      <c r="C153" s="11" t="s">
        <v>596</v>
      </c>
      <c r="D153" s="17"/>
      <c r="E153" s="213">
        <f>E151-E152</f>
        <v>629370</v>
      </c>
      <c r="F153" s="220">
        <f>E153/50</f>
        <v>12587.4</v>
      </c>
      <c r="G153" s="427"/>
    </row>
    <row r="154" spans="3:8" x14ac:dyDescent="0.45">
      <c r="C154" s="117" t="s">
        <v>897</v>
      </c>
      <c r="F154" s="217"/>
    </row>
    <row r="155" spans="3:8" ht="9.75" customHeight="1" x14ac:dyDescent="0.45">
      <c r="E155" s="146"/>
      <c r="F155" s="217"/>
    </row>
    <row r="156" spans="3:8" x14ac:dyDescent="0.45">
      <c r="C156" s="8" t="str">
        <f>D156*100&amp;"% Amortization:"</f>
        <v>40% Amortization:</v>
      </c>
      <c r="D156" s="15">
        <v>0.4</v>
      </c>
      <c r="E156" s="146">
        <f>D156*E149</f>
        <v>2617480</v>
      </c>
      <c r="F156" s="217">
        <f>E156/50</f>
        <v>52349.599999999999</v>
      </c>
      <c r="H156" s="18"/>
    </row>
    <row r="157" spans="3:8" s="11" customFormat="1" x14ac:dyDescent="0.45">
      <c r="C157" s="11" t="str">
        <f>"Payable* per month in "&amp;D157&amp;" months"</f>
        <v>Payable* per month in 24 months</v>
      </c>
      <c r="D157" s="16">
        <v>24</v>
      </c>
      <c r="E157" s="296">
        <f>(E156/D157)</f>
        <v>109061.66666666667</v>
      </c>
      <c r="F157" s="217">
        <f>E157/50</f>
        <v>2181.2333333333336</v>
      </c>
      <c r="G157" s="435"/>
      <c r="H157" s="19"/>
    </row>
    <row r="158" spans="3:8" s="11" customFormat="1" x14ac:dyDescent="0.45">
      <c r="D158" s="16"/>
      <c r="E158" s="296"/>
      <c r="F158" s="217"/>
      <c r="G158" s="435"/>
      <c r="H158" s="19"/>
    </row>
    <row r="159" spans="3:8" s="11" customFormat="1" x14ac:dyDescent="0.45">
      <c r="C159" s="11" t="s">
        <v>785</v>
      </c>
      <c r="D159" s="15">
        <v>0.5</v>
      </c>
      <c r="E159" s="296">
        <f>D159*E149</f>
        <v>3271850</v>
      </c>
      <c r="F159" s="217">
        <f>E159/50</f>
        <v>65437</v>
      </c>
      <c r="G159" s="435"/>
      <c r="H159" s="19"/>
    </row>
    <row r="160" spans="3:8" s="11" customFormat="1" x14ac:dyDescent="0.45">
      <c r="D160" s="15"/>
      <c r="E160" s="296"/>
      <c r="F160" s="217"/>
      <c r="G160" s="435"/>
      <c r="H160" s="19"/>
    </row>
    <row r="161" spans="2:8" x14ac:dyDescent="0.45">
      <c r="B161" s="511" t="str">
        <f>IF(AND(Input!$E$8="B-",Input!$D$7=Input!$H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No DP / 50k MA (mo 1-23) / 2.5% Bullet (mo 6,12,18) / Lumpsum","PAYMENT TERM NOT AVAILABLE FOR THIS PROPERTY")</f>
        <v>No DP / 50k MA (mo 1-23) / 2.5% Bullet (mo 6,12,18) / Lumpsum</v>
      </c>
      <c r="C161" s="511"/>
      <c r="D161" s="511"/>
      <c r="E161" s="511"/>
      <c r="F161" s="511"/>
      <c r="G161" s="511"/>
    </row>
    <row r="162" spans="2:8" x14ac:dyDescent="0.45">
      <c r="C162" s="170" t="s">
        <v>893</v>
      </c>
    </row>
    <row r="163" spans="2:8" x14ac:dyDescent="0.45">
      <c r="E163" s="125" t="s">
        <v>579</v>
      </c>
      <c r="F163" s="126" t="s">
        <v>655</v>
      </c>
    </row>
    <row r="164" spans="2:8" s="11" customFormat="1" x14ac:dyDescent="0.45">
      <c r="C164" s="11" t="s">
        <v>583</v>
      </c>
      <c r="D164" s="17">
        <v>0</v>
      </c>
      <c r="E164" s="12">
        <f>IF(B161="PAYMENT TERM NOT AVAILABLE FOR THIS PROPERTY",0,Input!D12)</f>
        <v>5641104</v>
      </c>
      <c r="F164" s="217">
        <f>E164/50</f>
        <v>112822.08</v>
      </c>
      <c r="G164" s="427"/>
    </row>
    <row r="165" spans="2:8" s="11" customFormat="1" hidden="1" x14ac:dyDescent="0.45">
      <c r="D165" s="17"/>
      <c r="E165" s="12"/>
      <c r="F165" s="217"/>
      <c r="G165" s="427"/>
    </row>
    <row r="166" spans="2:8" s="24" customFormat="1" hidden="1" x14ac:dyDescent="0.45">
      <c r="C166" s="243" t="s">
        <v>901</v>
      </c>
      <c r="D166" s="21"/>
      <c r="E166" s="149"/>
      <c r="F166" s="217">
        <f t="shared" ref="F166" si="10">E166/50</f>
        <v>0</v>
      </c>
      <c r="G166" s="423"/>
    </row>
    <row r="167" spans="2:8" s="11" customFormat="1" x14ac:dyDescent="0.45">
      <c r="C167" s="427" t="s">
        <v>584</v>
      </c>
      <c r="D167" s="17"/>
      <c r="E167" s="213">
        <f>E164-E166</f>
        <v>5641104</v>
      </c>
      <c r="F167" s="431">
        <f t="shared" ref="F167:F173" si="11">E167/50</f>
        <v>112822.08</v>
      </c>
      <c r="G167" s="427"/>
    </row>
    <row r="168" spans="2:8" x14ac:dyDescent="0.45">
      <c r="C168" s="115" t="s">
        <v>592</v>
      </c>
      <c r="D168" s="22">
        <v>0.12</v>
      </c>
      <c r="E168" s="9">
        <f>E167*12%</f>
        <v>676932.48</v>
      </c>
      <c r="F168" s="217">
        <f t="shared" si="11"/>
        <v>13538.649599999999</v>
      </c>
    </row>
    <row r="169" spans="2:8" x14ac:dyDescent="0.45">
      <c r="C169" s="115" t="s">
        <v>593</v>
      </c>
      <c r="D169" s="15">
        <v>0.04</v>
      </c>
      <c r="E169" s="146">
        <f>E167*4%</f>
        <v>225644.16</v>
      </c>
      <c r="F169" s="219">
        <f t="shared" si="11"/>
        <v>4512.8832000000002</v>
      </c>
    </row>
    <row r="170" spans="2:8" hidden="1" x14ac:dyDescent="0.45">
      <c r="C170" s="115" t="str">
        <f>IF(Input!$D$13&gt;0,"Improvement Cost:","")</f>
        <v/>
      </c>
      <c r="F170" s="217">
        <f t="shared" si="11"/>
        <v>0</v>
      </c>
    </row>
    <row r="171" spans="2:8" s="24" customFormat="1" hidden="1" x14ac:dyDescent="0.45">
      <c r="C171" s="148" t="str">
        <f>IF(Input!$D$13&gt;0,"Less "&amp;D171*100&amp;"% Improvement Cost Discount:","")</f>
        <v/>
      </c>
      <c r="D171" s="21">
        <f>IF(Input!D27&gt;0,Input!F45,0)</f>
        <v>0</v>
      </c>
      <c r="E171" s="212"/>
      <c r="F171" s="219">
        <f t="shared" si="11"/>
        <v>0</v>
      </c>
      <c r="G171" s="432"/>
    </row>
    <row r="172" spans="2:8" s="24" customFormat="1" x14ac:dyDescent="0.45">
      <c r="C172" s="148" t="s">
        <v>932</v>
      </c>
      <c r="D172" s="21"/>
      <c r="E172" s="481">
        <f>IF(B161="PAYMENT TERM NOT AVAILABLE FOR THIS PROPERTY",$D$33,25000)</f>
        <v>25000</v>
      </c>
      <c r="F172" s="219"/>
      <c r="G172" s="432"/>
    </row>
    <row r="173" spans="2:8" s="11" customFormat="1" x14ac:dyDescent="0.45">
      <c r="C173" s="11" t="s">
        <v>580</v>
      </c>
      <c r="D173" s="17"/>
      <c r="E173" s="213">
        <f>ROUND(E167+E168+E169+E170-E171,-2)</f>
        <v>6543700</v>
      </c>
      <c r="F173" s="220">
        <f t="shared" si="11"/>
        <v>130874</v>
      </c>
      <c r="G173" s="427"/>
    </row>
    <row r="174" spans="2:8" ht="9.75" customHeight="1" x14ac:dyDescent="0.45">
      <c r="E174" s="146"/>
      <c r="F174" s="217"/>
    </row>
    <row r="175" spans="2:8" x14ac:dyDescent="0.45">
      <c r="C175" s="8" t="s">
        <v>916</v>
      </c>
      <c r="D175" s="15">
        <v>2.5000000000000001E-2</v>
      </c>
      <c r="E175" s="146">
        <f>IF(B161="PAYMENT TERM NOT AVAILABLE FOR THIS PROPERTY",0,((50000*20)+((E173*2.5%)*3)))</f>
        <v>1490777.5</v>
      </c>
      <c r="F175" s="217">
        <f>E175/50</f>
        <v>29815.55</v>
      </c>
      <c r="H175" s="18"/>
    </row>
    <row r="176" spans="2:8" s="11" customFormat="1" x14ac:dyDescent="0.45">
      <c r="C176" s="427" t="s">
        <v>917</v>
      </c>
      <c r="D176" s="16">
        <v>24</v>
      </c>
      <c r="E176" s="296">
        <f>IF(B161="PAYMENT TERM NOT AVAILABLE FOR THIS PROPERTY",0,50000)</f>
        <v>50000</v>
      </c>
      <c r="F176" s="217">
        <f>E176/50</f>
        <v>1000</v>
      </c>
      <c r="G176" s="435"/>
      <c r="H176" s="19"/>
    </row>
    <row r="177" spans="2:8" s="11" customFormat="1" x14ac:dyDescent="0.45">
      <c r="C177" s="427" t="s">
        <v>919</v>
      </c>
      <c r="D177" s="16"/>
      <c r="E177" s="296">
        <f>E173*2.5%</f>
        <v>163592.5</v>
      </c>
      <c r="F177" s="217">
        <f>E177/50</f>
        <v>3271.85</v>
      </c>
      <c r="G177" s="435"/>
      <c r="H177" s="19"/>
    </row>
    <row r="178" spans="2:8" s="11" customFormat="1" x14ac:dyDescent="0.45">
      <c r="D178" s="16"/>
      <c r="E178" s="296"/>
      <c r="F178" s="217"/>
      <c r="G178" s="435"/>
      <c r="H178" s="19"/>
    </row>
    <row r="179" spans="2:8" s="11" customFormat="1" x14ac:dyDescent="0.45">
      <c r="C179" s="11" t="s">
        <v>625</v>
      </c>
      <c r="D179" s="15">
        <v>0.5</v>
      </c>
      <c r="E179" s="296">
        <f>E173-E175</f>
        <v>5052922.5</v>
      </c>
      <c r="F179" s="217">
        <f>E179/50</f>
        <v>101058.45</v>
      </c>
      <c r="G179" s="435"/>
      <c r="H179" s="19"/>
    </row>
    <row r="180" spans="2:8" x14ac:dyDescent="0.45">
      <c r="C180" s="115" t="s">
        <v>581</v>
      </c>
      <c r="D180" s="15"/>
      <c r="E180" s="210">
        <f>IF(B161="PAYMENT TERM NOT AVAILABLE FOR THIS PROPERTY",0,25000)</f>
        <v>25000</v>
      </c>
      <c r="F180" s="218">
        <f>E180/50</f>
        <v>500</v>
      </c>
    </row>
    <row r="181" spans="2:8" s="11" customFormat="1" x14ac:dyDescent="0.45">
      <c r="C181" s="11" t="s">
        <v>920</v>
      </c>
      <c r="D181" s="15"/>
      <c r="E181" s="296">
        <f>E179-E180</f>
        <v>5027922.5</v>
      </c>
      <c r="F181" s="220">
        <f t="shared" ref="F181" si="12">E181/50</f>
        <v>100558.45</v>
      </c>
      <c r="G181" s="435"/>
      <c r="H181" s="19"/>
    </row>
    <row r="182" spans="2:8" s="11" customFormat="1" x14ac:dyDescent="0.45">
      <c r="D182" s="15"/>
      <c r="E182" s="296"/>
      <c r="F182" s="217"/>
      <c r="G182" s="435"/>
      <c r="H182" s="19"/>
    </row>
    <row r="183" spans="2:8" x14ac:dyDescent="0.45">
      <c r="B183" s="511" t="str">
        <f>IF(AND(Input!$E$8="B-",Input!$D$7=Input!$H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No DP / 50k MA (mo 1-23) / 5% Bullet (mo 12) / Lumpsum","PAYMENT TERM NOT AVAILABLE FOR THIS PROPERTY")</f>
        <v>No DP / 50k MA (mo 1-23) / 5% Bullet (mo 12) / Lumpsum</v>
      </c>
      <c r="C183" s="511"/>
      <c r="D183" s="511"/>
      <c r="E183" s="511"/>
      <c r="F183" s="511"/>
      <c r="G183" s="511"/>
    </row>
    <row r="184" spans="2:8" x14ac:dyDescent="0.45">
      <c r="C184" s="170" t="s">
        <v>893</v>
      </c>
    </row>
    <row r="185" spans="2:8" x14ac:dyDescent="0.45">
      <c r="E185" s="125" t="s">
        <v>579</v>
      </c>
      <c r="F185" s="126" t="s">
        <v>655</v>
      </c>
    </row>
    <row r="186" spans="2:8" s="11" customFormat="1" x14ac:dyDescent="0.45">
      <c r="C186" s="11" t="s">
        <v>583</v>
      </c>
      <c r="D186" s="17">
        <v>0</v>
      </c>
      <c r="E186" s="12">
        <f>IF(B183="PAYMENT TERM NOT AVAILABLE FOR THIS PROPERTY",0,Input!D12)</f>
        <v>5641104</v>
      </c>
      <c r="F186" s="217">
        <f>E186/50</f>
        <v>112822.08</v>
      </c>
      <c r="G186" s="427"/>
    </row>
    <row r="187" spans="2:8" s="11" customFormat="1" hidden="1" x14ac:dyDescent="0.45">
      <c r="D187" s="17"/>
      <c r="E187" s="12"/>
      <c r="F187" s="217"/>
      <c r="G187" s="427"/>
    </row>
    <row r="188" spans="2:8" s="24" customFormat="1" hidden="1" x14ac:dyDescent="0.45">
      <c r="C188" s="243" t="s">
        <v>901</v>
      </c>
      <c r="D188" s="21"/>
      <c r="E188" s="149"/>
      <c r="F188" s="217">
        <f t="shared" ref="F188" si="13">E188/50</f>
        <v>0</v>
      </c>
      <c r="G188" s="423"/>
    </row>
    <row r="189" spans="2:8" s="11" customFormat="1" x14ac:dyDescent="0.45">
      <c r="C189" s="427" t="s">
        <v>584</v>
      </c>
      <c r="D189" s="17"/>
      <c r="E189" s="213">
        <f>E186-E188</f>
        <v>5641104</v>
      </c>
      <c r="F189" s="431">
        <f t="shared" ref="F189:F195" si="14">E189/50</f>
        <v>112822.08</v>
      </c>
      <c r="G189" s="427"/>
    </row>
    <row r="190" spans="2:8" x14ac:dyDescent="0.45">
      <c r="C190" s="115" t="s">
        <v>592</v>
      </c>
      <c r="D190" s="22">
        <v>0.12</v>
      </c>
      <c r="E190" s="9">
        <f>E189*12%</f>
        <v>676932.48</v>
      </c>
      <c r="F190" s="217">
        <f t="shared" si="14"/>
        <v>13538.649599999999</v>
      </c>
    </row>
    <row r="191" spans="2:8" x14ac:dyDescent="0.45">
      <c r="C191" s="115" t="s">
        <v>593</v>
      </c>
      <c r="D191" s="15">
        <v>0.04</v>
      </c>
      <c r="E191" s="146">
        <f>E189*4%</f>
        <v>225644.16</v>
      </c>
      <c r="F191" s="219">
        <f t="shared" si="14"/>
        <v>4512.8832000000002</v>
      </c>
    </row>
    <row r="192" spans="2:8" ht="18.649999999999999" hidden="1" customHeight="1" x14ac:dyDescent="0.45">
      <c r="C192" s="115" t="str">
        <f>IF(Input!$D$13&gt;0,"Improvement Cost:","")</f>
        <v/>
      </c>
      <c r="F192" s="217">
        <f t="shared" si="14"/>
        <v>0</v>
      </c>
    </row>
    <row r="193" spans="2:8" s="24" customFormat="1" ht="18.649999999999999" hidden="1" customHeight="1" x14ac:dyDescent="0.45">
      <c r="C193" s="148" t="str">
        <f>IF(Input!$D$13&gt;0,"Less "&amp;D193*100&amp;"% Improvement Cost Discount:","")</f>
        <v/>
      </c>
      <c r="D193" s="21">
        <f>IF(Input!D46&gt;0,Input!F67,0)</f>
        <v>0</v>
      </c>
      <c r="E193" s="212"/>
      <c r="F193" s="219">
        <f t="shared" si="14"/>
        <v>0</v>
      </c>
      <c r="G193" s="432"/>
    </row>
    <row r="194" spans="2:8" s="24" customFormat="1" ht="18.649999999999999" customHeight="1" x14ac:dyDescent="0.45">
      <c r="C194" s="148" t="s">
        <v>932</v>
      </c>
      <c r="D194" s="21"/>
      <c r="E194" s="481">
        <f>IF(B183="PAYMENT TERM NOT AVAILABLE FOR THIS PROPERTY",$D$33,25000)</f>
        <v>25000</v>
      </c>
      <c r="F194" s="219"/>
      <c r="G194" s="432"/>
    </row>
    <row r="195" spans="2:8" s="11" customFormat="1" x14ac:dyDescent="0.45">
      <c r="C195" s="11" t="s">
        <v>580</v>
      </c>
      <c r="D195" s="17"/>
      <c r="E195" s="213">
        <f>ROUND(E189+E190+E191+E192-E193,-2)</f>
        <v>6543700</v>
      </c>
      <c r="F195" s="220">
        <f t="shared" si="14"/>
        <v>130874</v>
      </c>
      <c r="G195" s="427"/>
    </row>
    <row r="196" spans="2:8" ht="15.75" customHeight="1" x14ac:dyDescent="0.45">
      <c r="F196" s="217"/>
    </row>
    <row r="197" spans="2:8" x14ac:dyDescent="0.45">
      <c r="C197" s="8" t="s">
        <v>916</v>
      </c>
      <c r="D197" s="15">
        <v>0.45</v>
      </c>
      <c r="E197" s="146">
        <f>IF(B161="PAYMENT TERM NOT AVAILABLE FOR THIS PROPERTY",0,((50000*22)+((E195*5%))))</f>
        <v>1427185</v>
      </c>
      <c r="F197" s="217">
        <f>E197/50</f>
        <v>28543.7</v>
      </c>
    </row>
    <row r="198" spans="2:8" s="23" customFormat="1" x14ac:dyDescent="0.45">
      <c r="C198" s="427" t="s">
        <v>917</v>
      </c>
      <c r="D198" s="16">
        <v>24</v>
      </c>
      <c r="E198" s="296">
        <f>IF(B161="PAYMENT TERM NOT AVAILABLE FOR THIS PROPERTY",0,50000)</f>
        <v>50000</v>
      </c>
      <c r="F198" s="217">
        <f>E198/50</f>
        <v>1000</v>
      </c>
      <c r="G198" s="436"/>
    </row>
    <row r="199" spans="2:8" s="11" customFormat="1" x14ac:dyDescent="0.45">
      <c r="C199" s="427" t="s">
        <v>918</v>
      </c>
      <c r="D199" s="16"/>
      <c r="E199" s="296">
        <f>E195*5%</f>
        <v>327185</v>
      </c>
      <c r="F199" s="217">
        <f>E199/50</f>
        <v>6543.7</v>
      </c>
      <c r="G199" s="427"/>
    </row>
    <row r="200" spans="2:8" x14ac:dyDescent="0.45">
      <c r="C200" s="11"/>
      <c r="E200" s="296"/>
      <c r="F200" s="217"/>
    </row>
    <row r="201" spans="2:8" s="11" customFormat="1" x14ac:dyDescent="0.45">
      <c r="C201" s="11" t="s">
        <v>625</v>
      </c>
      <c r="D201" s="15">
        <v>0.5</v>
      </c>
      <c r="E201" s="296">
        <f>E195-E197</f>
        <v>5116515</v>
      </c>
      <c r="F201" s="217">
        <f>E201/50</f>
        <v>102330.3</v>
      </c>
      <c r="G201" s="435"/>
      <c r="H201" s="19"/>
    </row>
    <row r="202" spans="2:8" s="11" customFormat="1" x14ac:dyDescent="0.45">
      <c r="C202" s="115" t="s">
        <v>581</v>
      </c>
      <c r="D202" s="15"/>
      <c r="E202" s="210">
        <f>IF(B183="PAYMENT TERM NOT AVAILABLE FOR THIS PROPERTY",0,25000)</f>
        <v>25000</v>
      </c>
      <c r="F202" s="218">
        <f>E202/50</f>
        <v>500</v>
      </c>
      <c r="G202" s="435"/>
      <c r="H202" s="19"/>
    </row>
    <row r="203" spans="2:8" s="11" customFormat="1" x14ac:dyDescent="0.45">
      <c r="C203" s="11" t="s">
        <v>920</v>
      </c>
      <c r="D203" s="15"/>
      <c r="E203" s="296">
        <f>E201-E202</f>
        <v>5091515</v>
      </c>
      <c r="F203" s="220">
        <f t="shared" ref="F203" si="15">E203/50</f>
        <v>101830.3</v>
      </c>
      <c r="G203" s="435"/>
      <c r="H203" s="19"/>
    </row>
    <row r="204" spans="2:8" s="11" customFormat="1" x14ac:dyDescent="0.45">
      <c r="D204" s="16"/>
      <c r="E204" s="133"/>
      <c r="F204" s="217"/>
      <c r="G204" s="435"/>
      <c r="H204" s="19"/>
    </row>
    <row r="205" spans="2:8" x14ac:dyDescent="0.45">
      <c r="B205" s="153" t="s">
        <v>664</v>
      </c>
      <c r="C205" s="154" t="s">
        <v>659</v>
      </c>
    </row>
    <row r="206" spans="2:8" x14ac:dyDescent="0.45">
      <c r="B206" s="13"/>
      <c r="C206" s="13" t="s">
        <v>656</v>
      </c>
    </row>
    <row r="207" spans="2:8" x14ac:dyDescent="0.45">
      <c r="B207" s="13"/>
      <c r="C207" s="154" t="s">
        <v>658</v>
      </c>
    </row>
    <row r="208" spans="2:8" x14ac:dyDescent="0.45">
      <c r="B208" s="13"/>
      <c r="C208" s="13" t="s">
        <v>588</v>
      </c>
    </row>
    <row r="209" spans="2:7" x14ac:dyDescent="0.45">
      <c r="B209" s="13"/>
      <c r="C209" s="154" t="s">
        <v>660</v>
      </c>
    </row>
    <row r="210" spans="2:7" x14ac:dyDescent="0.45">
      <c r="B210" s="13"/>
      <c r="C210" s="13" t="s">
        <v>589</v>
      </c>
    </row>
    <row r="211" spans="2:7" hidden="1" x14ac:dyDescent="0.45">
      <c r="B211" s="13"/>
      <c r="C211" s="154" t="s">
        <v>661</v>
      </c>
    </row>
    <row r="212" spans="2:7" x14ac:dyDescent="0.45">
      <c r="B212" s="13" t="s">
        <v>112</v>
      </c>
      <c r="C212" s="154" t="s">
        <v>662</v>
      </c>
    </row>
    <row r="213" spans="2:7" x14ac:dyDescent="0.45">
      <c r="B213" s="13"/>
      <c r="C213" s="154" t="s">
        <v>663</v>
      </c>
    </row>
    <row r="214" spans="2:7" ht="18.649999999999999" customHeight="1" x14ac:dyDescent="0.45">
      <c r="C214" s="13" t="s">
        <v>657</v>
      </c>
    </row>
    <row r="215" spans="2:7" ht="18.649999999999999" customHeight="1" x14ac:dyDescent="0.45">
      <c r="C215" s="510" t="s">
        <v>940</v>
      </c>
      <c r="D215" s="510"/>
      <c r="E215" s="510"/>
      <c r="F215" s="510"/>
      <c r="G215" s="510"/>
    </row>
    <row r="216" spans="2:7" ht="18.5" customHeight="1" x14ac:dyDescent="0.45">
      <c r="C216" s="510" t="s">
        <v>933</v>
      </c>
      <c r="D216" s="510"/>
      <c r="E216" s="510"/>
      <c r="F216" s="510"/>
      <c r="G216" s="510"/>
    </row>
    <row r="217" spans="2:7" x14ac:dyDescent="0.45">
      <c r="C217" s="487" t="s">
        <v>936</v>
      </c>
      <c r="D217" s="487"/>
      <c r="E217" s="487"/>
      <c r="F217" s="487"/>
      <c r="G217" s="487"/>
    </row>
    <row r="218" spans="2:7" x14ac:dyDescent="0.45">
      <c r="C218" s="486" t="s">
        <v>934</v>
      </c>
      <c r="D218" s="485"/>
      <c r="E218" s="485"/>
      <c r="F218" s="485"/>
      <c r="G218" s="485"/>
    </row>
  </sheetData>
  <sheetProtection algorithmName="SHA-512" hashValue="pFHdo3y7bSGD2GBMn0qUcLwRcQ20iJUyzSLv62Y5BV43HttD6xhyOiLI9xVSZ1B5wfvHNWIwFubJaIRMDgWssw==" saltValue="jh2Bphyzt3Bi8oNDKF1DeQ==" spinCount="100000" sheet="1" objects="1" scenarios="1"/>
  <mergeCells count="11">
    <mergeCell ref="C215:G215"/>
    <mergeCell ref="C216:G216"/>
    <mergeCell ref="B161:G161"/>
    <mergeCell ref="B183:G183"/>
    <mergeCell ref="B139:G139"/>
    <mergeCell ref="B119:G119"/>
    <mergeCell ref="B11:G11"/>
    <mergeCell ref="B30:G30"/>
    <mergeCell ref="B52:G52"/>
    <mergeCell ref="B75:G75"/>
    <mergeCell ref="B98:G98"/>
  </mergeCells>
  <conditionalFormatting sqref="E21">
    <cfRule type="expression" dxfId="114" priority="36">
      <formula>$E$21=0</formula>
    </cfRule>
  </conditionalFormatting>
  <conditionalFormatting sqref="E62">
    <cfRule type="expression" dxfId="113" priority="35">
      <formula>$E$62=0</formula>
    </cfRule>
  </conditionalFormatting>
  <conditionalFormatting sqref="E56:E58">
    <cfRule type="expression" dxfId="112" priority="34">
      <formula>$E$56=0</formula>
    </cfRule>
  </conditionalFormatting>
  <conditionalFormatting sqref="D78">
    <cfRule type="expression" dxfId="111" priority="33">
      <formula>$E$78=0</formula>
    </cfRule>
  </conditionalFormatting>
  <conditionalFormatting sqref="C6">
    <cfRule type="expression" dxfId="110" priority="32">
      <formula>$C$6=0</formula>
    </cfRule>
  </conditionalFormatting>
  <conditionalFormatting sqref="C7">
    <cfRule type="expression" dxfId="109" priority="31">
      <formula>$C$7=0</formula>
    </cfRule>
  </conditionalFormatting>
  <conditionalFormatting sqref="C2">
    <cfRule type="expression" dxfId="108" priority="30">
      <formula>$C$2=0</formula>
    </cfRule>
  </conditionalFormatting>
  <conditionalFormatting sqref="C3">
    <cfRule type="expression" dxfId="107" priority="29">
      <formula>$C$3=0</formula>
    </cfRule>
  </conditionalFormatting>
  <conditionalFormatting sqref="E22">
    <cfRule type="expression" dxfId="106" priority="28">
      <formula>$E$22=0</formula>
    </cfRule>
  </conditionalFormatting>
  <conditionalFormatting sqref="E63">
    <cfRule type="expression" dxfId="105" priority="27">
      <formula>$E$63=0</formula>
    </cfRule>
  </conditionalFormatting>
  <conditionalFormatting sqref="E84">
    <cfRule type="expression" dxfId="104" priority="26">
      <formula>$E$84=0</formula>
    </cfRule>
  </conditionalFormatting>
  <conditionalFormatting sqref="E85">
    <cfRule type="expression" dxfId="103" priority="25">
      <formula>$E$85=0</formula>
    </cfRule>
  </conditionalFormatting>
  <conditionalFormatting sqref="E16">
    <cfRule type="expression" dxfId="102" priority="24">
      <formula>$E$16=0</formula>
    </cfRule>
  </conditionalFormatting>
  <conditionalFormatting sqref="E17">
    <cfRule type="expression" dxfId="101" priority="23">
      <formula>$E$17=0</formula>
    </cfRule>
  </conditionalFormatting>
  <conditionalFormatting sqref="E57">
    <cfRule type="expression" dxfId="100" priority="22">
      <formula>$E$57=0</formula>
    </cfRule>
  </conditionalFormatting>
  <conditionalFormatting sqref="E58">
    <cfRule type="expression" dxfId="99" priority="21">
      <formula>$E$58=0</formula>
    </cfRule>
  </conditionalFormatting>
  <conditionalFormatting sqref="E78">
    <cfRule type="expression" dxfId="98" priority="20">
      <formula>$E$78=0</formula>
    </cfRule>
  </conditionalFormatting>
  <conditionalFormatting sqref="E79">
    <cfRule type="expression" dxfId="97" priority="19">
      <formula>$E$79=0</formula>
    </cfRule>
  </conditionalFormatting>
  <conditionalFormatting sqref="E80">
    <cfRule type="expression" dxfId="96" priority="18">
      <formula>$E$80=0</formula>
    </cfRule>
  </conditionalFormatting>
  <conditionalFormatting sqref="E108">
    <cfRule type="expression" dxfId="95" priority="17">
      <formula>$E$62=0</formula>
    </cfRule>
  </conditionalFormatting>
  <conditionalFormatting sqref="E102:E104">
    <cfRule type="expression" dxfId="94" priority="16">
      <formula>$E$56=0</formula>
    </cfRule>
  </conditionalFormatting>
  <conditionalFormatting sqref="E109">
    <cfRule type="expression" dxfId="93" priority="15">
      <formula>$E$63=0</formula>
    </cfRule>
  </conditionalFormatting>
  <conditionalFormatting sqref="E103">
    <cfRule type="expression" dxfId="92" priority="14">
      <formula>$E$57=0</formula>
    </cfRule>
  </conditionalFormatting>
  <conditionalFormatting sqref="E104">
    <cfRule type="expression" dxfId="91" priority="13">
      <formula>$E$58=0</formula>
    </cfRule>
  </conditionalFormatting>
  <conditionalFormatting sqref="E40">
    <cfRule type="expression" dxfId="90" priority="10">
      <formula>$E$21=0</formula>
    </cfRule>
  </conditionalFormatting>
  <conditionalFormatting sqref="E41">
    <cfRule type="expression" dxfId="89" priority="9">
      <formula>$E$22=0</formula>
    </cfRule>
  </conditionalFormatting>
  <conditionalFormatting sqref="E171">
    <cfRule type="expression" dxfId="88" priority="3">
      <formula>$E$63=0</formula>
    </cfRule>
  </conditionalFormatting>
  <conditionalFormatting sqref="E170">
    <cfRule type="expression" dxfId="87" priority="4">
      <formula>$E$62=0</formula>
    </cfRule>
  </conditionalFormatting>
  <conditionalFormatting sqref="E193">
    <cfRule type="expression" dxfId="86" priority="1">
      <formula>$E$63=0</formula>
    </cfRule>
  </conditionalFormatting>
  <conditionalFormatting sqref="E192">
    <cfRule type="expression" dxfId="85" priority="2">
      <formula>$E$62=0</formula>
    </cfRule>
  </conditionalFormatting>
  <pageMargins left="0.7" right="0.7" top="0.75" bottom="0.75" header="0.3" footer="0.3"/>
  <pageSetup paperSize="5" scale="43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4"/>
  </sheetPr>
  <dimension ref="B1:G39"/>
  <sheetViews>
    <sheetView showGridLines="0" view="pageBreakPreview" zoomScale="70" zoomScaleNormal="100" zoomScaleSheetLayoutView="70" workbookViewId="0">
      <selection activeCell="D15" sqref="D15"/>
    </sheetView>
  </sheetViews>
  <sheetFormatPr defaultColWidth="8.81640625" defaultRowHeight="18.5" x14ac:dyDescent="0.45"/>
  <cols>
    <col min="1" max="1" width="4" style="8" customWidth="1"/>
    <col min="2" max="2" width="31.7265625" style="8" customWidth="1"/>
    <col min="3" max="3" width="22.7265625" style="8" customWidth="1"/>
    <col min="4" max="4" width="19.7265625" style="8" customWidth="1"/>
    <col min="5" max="5" width="21.453125" style="8" customWidth="1"/>
    <col min="6" max="6" width="28.453125" style="8" customWidth="1"/>
    <col min="7" max="16384" width="8.81640625" style="8"/>
  </cols>
  <sheetData>
    <row r="1" spans="2:6" x14ac:dyDescent="0.45">
      <c r="B1" s="11" t="s">
        <v>598</v>
      </c>
      <c r="C1" s="515">
        <f>Input!D4</f>
        <v>0</v>
      </c>
      <c r="D1" s="515"/>
    </row>
    <row r="2" spans="2:6" ht="9" customHeight="1" thickBot="1" x14ac:dyDescent="0.5"/>
    <row r="3" spans="2:6" x14ac:dyDescent="0.45">
      <c r="B3" s="516" t="str">
        <f>"Brentville International - "&amp;Input!D7</f>
        <v>Brentville International - The Arborage</v>
      </c>
      <c r="C3" s="517"/>
      <c r="D3" s="518"/>
    </row>
    <row r="4" spans="2:6" x14ac:dyDescent="0.45">
      <c r="B4" s="519" t="str">
        <f>'Summary - All Clusters'!C5</f>
        <v>B-B2-L10</v>
      </c>
      <c r="C4" s="520"/>
      <c r="D4" s="521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00">
        <f>C5*10.76391</f>
        <v>1808.3368799999998</v>
      </c>
      <c r="F5" s="27"/>
    </row>
    <row r="6" spans="2:6" s="11" customFormat="1" x14ac:dyDescent="0.45">
      <c r="B6" s="32" t="str">
        <f>'Summary - All Clusters'!C14</f>
        <v>Total List Price:</v>
      </c>
      <c r="C6" s="40"/>
      <c r="D6" s="201">
        <f>Input!D12</f>
        <v>5641104</v>
      </c>
    </row>
    <row r="7" spans="2:6" s="23" customFormat="1" x14ac:dyDescent="0.45">
      <c r="B7" s="162" t="str">
        <f>'Summary - All Clusters'!C15</f>
        <v>Less 9% Discount:</v>
      </c>
      <c r="C7" s="163"/>
      <c r="D7" s="202">
        <f>D6*9%</f>
        <v>507699.36</v>
      </c>
    </row>
    <row r="8" spans="2:6" s="11" customFormat="1" x14ac:dyDescent="0.45">
      <c r="B8" s="32" t="s">
        <v>781</v>
      </c>
      <c r="C8" s="40"/>
      <c r="D8" s="201">
        <f>D6-D7</f>
        <v>5133404.6399999997</v>
      </c>
    </row>
    <row r="9" spans="2:6" s="23" customFormat="1" x14ac:dyDescent="0.45">
      <c r="B9" s="162" t="s">
        <v>784</v>
      </c>
      <c r="C9" s="163"/>
      <c r="D9" s="202">
        <f>D8*1%</f>
        <v>51334.046399999999</v>
      </c>
    </row>
    <row r="10" spans="2:6" s="11" customFormat="1" x14ac:dyDescent="0.45">
      <c r="B10" s="32" t="s">
        <v>782</v>
      </c>
      <c r="C10" s="40"/>
      <c r="D10" s="201">
        <f>D8-D9</f>
        <v>5082070.5935999993</v>
      </c>
    </row>
    <row r="11" spans="2:6" x14ac:dyDescent="0.45">
      <c r="B11" s="131" t="str">
        <f>'Summary - All Clusters'!C19</f>
        <v>Add VAT:</v>
      </c>
      <c r="C11" s="38"/>
      <c r="D11" s="203">
        <f>D10*12%</f>
        <v>609848.47123199992</v>
      </c>
    </row>
    <row r="12" spans="2:6" x14ac:dyDescent="0.45">
      <c r="B12" s="131" t="str">
        <f>'Summary - All Clusters'!C20</f>
        <v>Add Other Charges:</v>
      </c>
      <c r="C12" s="38"/>
      <c r="D12" s="203">
        <f>D10*4%</f>
        <v>203282.82374399996</v>
      </c>
      <c r="F12" s="18"/>
    </row>
    <row r="13" spans="2:6" hidden="1" x14ac:dyDescent="0.45">
      <c r="B13" s="131" t="s">
        <v>671</v>
      </c>
      <c r="C13" s="38"/>
      <c r="D13" s="203">
        <f>Input!D13</f>
        <v>0</v>
      </c>
    </row>
    <row r="14" spans="2:6" hidden="1" x14ac:dyDescent="0.45">
      <c r="B14" s="162" t="s">
        <v>672</v>
      </c>
      <c r="C14" s="163"/>
      <c r="D14" s="202">
        <f>D13*50%</f>
        <v>0</v>
      </c>
    </row>
    <row r="15" spans="2:6" s="11" customFormat="1" ht="19" thickBot="1" x14ac:dyDescent="0.5">
      <c r="B15" s="33" t="str">
        <f>'Summary - All Clusters'!C24</f>
        <v>Total Contract Price:</v>
      </c>
      <c r="C15" s="41"/>
      <c r="D15" s="204">
        <f>ROUND(D10+D11+D12+D13-D14,-2)</f>
        <v>5895200</v>
      </c>
    </row>
    <row r="16" spans="2:6" x14ac:dyDescent="0.45">
      <c r="B16" s="42" t="str">
        <f>'Summary - All Clusters'!B8</f>
        <v>Computation generated on:</v>
      </c>
      <c r="C16" s="10">
        <f ca="1">'Summary - All Clusters'!C8</f>
        <v>44061</v>
      </c>
    </row>
    <row r="17" spans="2:7" x14ac:dyDescent="0.45">
      <c r="B17" s="43" t="s">
        <v>599</v>
      </c>
    </row>
    <row r="18" spans="2:7" ht="19" thickBot="1" x14ac:dyDescent="0.5"/>
    <row r="19" spans="2:7" x14ac:dyDescent="0.45">
      <c r="C19" s="522" t="s">
        <v>783</v>
      </c>
      <c r="D19" s="523"/>
      <c r="E19" s="524"/>
    </row>
    <row r="20" spans="2:7" x14ac:dyDescent="0.45">
      <c r="C20" s="525" t="s">
        <v>600</v>
      </c>
      <c r="D20" s="526"/>
      <c r="E20" s="46" t="s">
        <v>601</v>
      </c>
    </row>
    <row r="21" spans="2:7" ht="19" thickBot="1" x14ac:dyDescent="0.5">
      <c r="C21" s="527">
        <f ca="1">C16</f>
        <v>44061</v>
      </c>
      <c r="D21" s="528"/>
      <c r="E21" s="48">
        <f>D15</f>
        <v>5895200</v>
      </c>
      <c r="F21" s="13"/>
    </row>
    <row r="23" spans="2:7" ht="37.5" customHeight="1" x14ac:dyDescent="0.45">
      <c r="B23" s="513" t="s">
        <v>608</v>
      </c>
      <c r="C23" s="513"/>
      <c r="D23" s="513"/>
      <c r="E23" s="513"/>
      <c r="F23" s="513"/>
      <c r="G23" s="513"/>
    </row>
    <row r="24" spans="2:7" ht="37.5" customHeight="1" x14ac:dyDescent="0.45">
      <c r="B24" s="513" t="s">
        <v>602</v>
      </c>
      <c r="C24" s="513"/>
      <c r="D24" s="513"/>
      <c r="E24" s="513"/>
      <c r="F24" s="513"/>
      <c r="G24" s="513"/>
    </row>
    <row r="25" spans="2:7" ht="37.5" customHeight="1" x14ac:dyDescent="0.45">
      <c r="B25" s="513" t="s">
        <v>603</v>
      </c>
      <c r="C25" s="513"/>
      <c r="D25" s="513"/>
      <c r="E25" s="513"/>
      <c r="F25" s="513"/>
      <c r="G25" s="513"/>
    </row>
    <row r="26" spans="2:7" ht="18.75" customHeight="1" x14ac:dyDescent="0.45">
      <c r="B26" s="290"/>
      <c r="C26" s="290"/>
      <c r="D26" s="290"/>
      <c r="E26" s="290"/>
      <c r="F26" s="290"/>
      <c r="G26" s="290"/>
    </row>
    <row r="29" spans="2:7" s="51" customFormat="1" x14ac:dyDescent="0.45">
      <c r="B29" s="165" t="s">
        <v>605</v>
      </c>
      <c r="C29" s="165"/>
      <c r="D29" s="165" t="s">
        <v>606</v>
      </c>
    </row>
    <row r="30" spans="2:7" s="51" customFormat="1" x14ac:dyDescent="0.45"/>
    <row r="31" spans="2:7" s="51" customFormat="1" x14ac:dyDescent="0.45"/>
    <row r="32" spans="2:7" ht="19" thickBot="1" x14ac:dyDescent="0.5">
      <c r="B32" s="49"/>
      <c r="D32" s="514"/>
      <c r="E32" s="514"/>
    </row>
    <row r="33" spans="2:4" x14ac:dyDescent="0.45">
      <c r="B33" s="8">
        <f>Input!D4</f>
        <v>0</v>
      </c>
      <c r="D33" s="50">
        <f>Input!D5</f>
        <v>0</v>
      </c>
    </row>
    <row r="34" spans="2:4" x14ac:dyDescent="0.45">
      <c r="D34" s="50"/>
    </row>
    <row r="35" spans="2:4" s="51" customFormat="1" x14ac:dyDescent="0.45">
      <c r="B35" s="165" t="s">
        <v>607</v>
      </c>
    </row>
    <row r="36" spans="2:4" s="51" customFormat="1" x14ac:dyDescent="0.45"/>
    <row r="37" spans="2:4" s="51" customFormat="1" x14ac:dyDescent="0.45"/>
    <row r="38" spans="2:4" ht="19" thickBot="1" x14ac:dyDescent="0.5">
      <c r="B38" s="49"/>
    </row>
    <row r="39" spans="2:4" x14ac:dyDescent="0.45">
      <c r="B39" s="8">
        <f>Input!D6</f>
        <v>0</v>
      </c>
    </row>
  </sheetData>
  <mergeCells count="10">
    <mergeCell ref="B23:G23"/>
    <mergeCell ref="B24:G24"/>
    <mergeCell ref="B25:G25"/>
    <mergeCell ref="D32:E32"/>
    <mergeCell ref="C1:D1"/>
    <mergeCell ref="B3:D3"/>
    <mergeCell ref="B4:D4"/>
    <mergeCell ref="C19:E19"/>
    <mergeCell ref="C20:D20"/>
    <mergeCell ref="C21:D21"/>
  </mergeCells>
  <conditionalFormatting sqref="D33:D34">
    <cfRule type="expression" dxfId="84" priority="7">
      <formula>$D$33=0</formula>
    </cfRule>
  </conditionalFormatting>
  <conditionalFormatting sqref="B39">
    <cfRule type="expression" dxfId="83" priority="6">
      <formula>$B$39=0</formula>
    </cfRule>
  </conditionalFormatting>
  <conditionalFormatting sqref="B33">
    <cfRule type="expression" dxfId="82" priority="5">
      <formula>$B$33=0</formula>
    </cfRule>
  </conditionalFormatting>
  <conditionalFormatting sqref="C5">
    <cfRule type="expression" dxfId="81" priority="4">
      <formula>$C$5=0</formula>
    </cfRule>
  </conditionalFormatting>
  <conditionalFormatting sqref="D5">
    <cfRule type="expression" dxfId="80" priority="3">
      <formula>$D$5=0</formula>
    </cfRule>
  </conditionalFormatting>
  <conditionalFormatting sqref="D7">
    <cfRule type="expression" dxfId="79" priority="2">
      <formula>$D$7=0</formula>
    </cfRule>
  </conditionalFormatting>
  <conditionalFormatting sqref="D9">
    <cfRule type="expression" dxfId="78" priority="1">
      <formula>$D$7=0</formula>
    </cfRule>
  </conditionalFormatting>
  <pageMargins left="0.7" right="0.7" top="0.75" bottom="0.75" header="0.3" footer="0.3"/>
  <pageSetup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398E9C"/>
    <pageSetUpPr fitToPage="1"/>
  </sheetPr>
  <dimension ref="B1:F44"/>
  <sheetViews>
    <sheetView showGridLines="0" view="pageBreakPreview" zoomScale="55" zoomScaleNormal="100" zoomScaleSheetLayoutView="55" workbookViewId="0">
      <selection activeCell="F21" sqref="F21"/>
    </sheetView>
  </sheetViews>
  <sheetFormatPr defaultColWidth="8.81640625" defaultRowHeight="18.5" x14ac:dyDescent="0.45"/>
  <cols>
    <col min="1" max="1" width="4" style="8" customWidth="1"/>
    <col min="2" max="2" width="31.7265625" style="8" customWidth="1"/>
    <col min="3" max="3" width="22.7265625" style="8" customWidth="1"/>
    <col min="4" max="4" width="19.7265625" style="8" customWidth="1"/>
    <col min="5" max="5" width="21.453125" style="8" customWidth="1"/>
    <col min="6" max="6" width="39.81640625" style="8" customWidth="1"/>
    <col min="7" max="16384" width="8.81640625" style="8"/>
  </cols>
  <sheetData>
    <row r="1" spans="2:6" x14ac:dyDescent="0.45">
      <c r="B1" s="11" t="s">
        <v>598</v>
      </c>
      <c r="C1" s="515">
        <f>Input!D4</f>
        <v>0</v>
      </c>
      <c r="D1" s="515"/>
    </row>
    <row r="2" spans="2:6" ht="9" customHeight="1" thickBot="1" x14ac:dyDescent="0.5"/>
    <row r="3" spans="2:6" x14ac:dyDescent="0.45">
      <c r="B3" s="516" t="str">
        <f>"Brentville International - "&amp;Input!D7</f>
        <v>Brentville International - The Arborage</v>
      </c>
      <c r="C3" s="517"/>
      <c r="D3" s="518"/>
    </row>
    <row r="4" spans="2:6" x14ac:dyDescent="0.45">
      <c r="B4" s="519" t="str">
        <f>'Summary - All Clusters'!C5</f>
        <v>B-B2-L10</v>
      </c>
      <c r="C4" s="520"/>
      <c r="D4" s="521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00">
        <f>C5*10.76391</f>
        <v>1808.3368799999998</v>
      </c>
      <c r="F5" s="27"/>
    </row>
    <row r="6" spans="2:6" s="11" customFormat="1" x14ac:dyDescent="0.45">
      <c r="B6" s="32" t="s">
        <v>900</v>
      </c>
      <c r="C6" s="40"/>
      <c r="D6" s="201">
        <f>'Summary - Arborage B'!E33</f>
        <v>5641104</v>
      </c>
    </row>
    <row r="7" spans="2:6" s="23" customFormat="1" x14ac:dyDescent="0.45">
      <c r="B7" s="424" t="str">
        <f>'Summary - All Clusters'!C15</f>
        <v>Less 9% Discount:</v>
      </c>
      <c r="C7" s="425"/>
      <c r="D7" s="426">
        <f>D6*9%</f>
        <v>507699.36</v>
      </c>
      <c r="E7" s="247"/>
    </row>
    <row r="8" spans="2:6" s="11" customFormat="1" hidden="1" x14ac:dyDescent="0.45">
      <c r="B8" s="32" t="s">
        <v>902</v>
      </c>
      <c r="C8" s="40"/>
      <c r="D8" s="201"/>
      <c r="E8" s="19"/>
    </row>
    <row r="9" spans="2:6" s="11" customFormat="1" hidden="1" x14ac:dyDescent="0.45">
      <c r="B9" s="424"/>
      <c r="C9" s="425"/>
      <c r="D9" s="426"/>
      <c r="E9" s="423"/>
    </row>
    <row r="10" spans="2:6" s="11" customFormat="1" x14ac:dyDescent="0.45">
      <c r="B10" s="32" t="s">
        <v>584</v>
      </c>
      <c r="C10" s="40"/>
      <c r="D10" s="201">
        <f>D6-D7</f>
        <v>5133404.6399999997</v>
      </c>
      <c r="E10" s="19"/>
    </row>
    <row r="11" spans="2:6" x14ac:dyDescent="0.45">
      <c r="B11" s="131" t="str">
        <f>'Summary - All Clusters'!C19</f>
        <v>Add VAT:</v>
      </c>
      <c r="C11" s="38"/>
      <c r="D11" s="203">
        <f>D10*12%</f>
        <v>616008.5567999999</v>
      </c>
      <c r="E11" s="18"/>
    </row>
    <row r="12" spans="2:6" x14ac:dyDescent="0.45">
      <c r="B12" s="131" t="str">
        <f>'Summary - All Clusters'!C20</f>
        <v>Add Other Charges:</v>
      </c>
      <c r="C12" s="38"/>
      <c r="D12" s="203">
        <f>D10*4%</f>
        <v>205336.1856</v>
      </c>
      <c r="E12" s="18"/>
      <c r="F12" s="18"/>
    </row>
    <row r="13" spans="2:6" x14ac:dyDescent="0.45">
      <c r="B13" s="424" t="s">
        <v>932</v>
      </c>
      <c r="C13" s="428"/>
      <c r="D13" s="429">
        <f>IF(C18="PAYMENT TERM NOT AVAILABLE FOR THIS PROPERTY",0,25000)</f>
        <v>25000</v>
      </c>
    </row>
    <row r="14" spans="2:6" s="11" customFormat="1" ht="19" thickBot="1" x14ac:dyDescent="0.5">
      <c r="B14" s="33" t="str">
        <f>'Summary - All Clusters'!C24</f>
        <v>Total Contract Price:</v>
      </c>
      <c r="C14" s="41"/>
      <c r="D14" s="204">
        <f>ROUND(D10+D11+D12-D13,-2)</f>
        <v>5929700</v>
      </c>
      <c r="E14" s="19"/>
    </row>
    <row r="15" spans="2:6" x14ac:dyDescent="0.45">
      <c r="B15" s="42" t="str">
        <f>'Summary - All Clusters'!B8</f>
        <v>Computation generated on:</v>
      </c>
      <c r="C15" s="10">
        <f ca="1">'Summary - All Clusters'!C8</f>
        <v>44061</v>
      </c>
    </row>
    <row r="16" spans="2:6" x14ac:dyDescent="0.45">
      <c r="B16" s="43" t="s">
        <v>599</v>
      </c>
    </row>
    <row r="17" spans="2:6" ht="19" thickBot="1" x14ac:dyDescent="0.5"/>
    <row r="18" spans="2:6" x14ac:dyDescent="0.45">
      <c r="C18" s="522" t="str">
        <f>IF(AND(Input!$E$8="B-",Input!$D$7=Input!$H$3),"95% DP / 5% Due upon turnover (with 9% Discount)","PAYMENT TERM NOT AVAILABLE FOR THIS PROPERTY")</f>
        <v>95% DP / 5% Due upon turnover (with 9% Discount)</v>
      </c>
      <c r="D18" s="523"/>
      <c r="E18" s="524"/>
    </row>
    <row r="19" spans="2:6" x14ac:dyDescent="0.45">
      <c r="C19" s="525" t="s">
        <v>600</v>
      </c>
      <c r="D19" s="526"/>
      <c r="E19" s="46" t="s">
        <v>601</v>
      </c>
    </row>
    <row r="20" spans="2:6" x14ac:dyDescent="0.45">
      <c r="C20" s="529">
        <f ca="1">C15</f>
        <v>44061</v>
      </c>
      <c r="D20" s="530"/>
      <c r="E20" s="47">
        <f>IF(C18="PAYMENT TERM NOT AVAILABLE FOR THIS PROPERTY",0,25000)</f>
        <v>25000</v>
      </c>
      <c r="F20" s="474" t="s">
        <v>609</v>
      </c>
    </row>
    <row r="21" spans="2:6" x14ac:dyDescent="0.45">
      <c r="C21" s="532">
        <f ca="1">EDATE(C20,1)</f>
        <v>44092</v>
      </c>
      <c r="D21" s="533"/>
      <c r="E21" s="47">
        <f>IF(C18="PAYMENT TERM NOT AVAILABLE FOR THIS PROPERTY",0,((D14*95%)-(25000)))</f>
        <v>5608215</v>
      </c>
      <c r="F21" s="474"/>
    </row>
    <row r="22" spans="2:6" ht="19" thickBot="1" x14ac:dyDescent="0.5">
      <c r="B22" s="250"/>
      <c r="C22" s="527">
        <f ca="1">EDATE(C21,1)</f>
        <v>44122</v>
      </c>
      <c r="D22" s="528"/>
      <c r="E22" s="48">
        <f>IF(C18="PAYMENT TERM NOT AVAILABLE FOR THIS PROPERTY",0,(D14*5%))</f>
        <v>296485</v>
      </c>
      <c r="F22" s="13"/>
    </row>
    <row r="23" spans="2:6" x14ac:dyDescent="0.45">
      <c r="F23" s="13"/>
    </row>
    <row r="24" spans="2:6" x14ac:dyDescent="0.45">
      <c r="C24" s="531"/>
      <c r="D24" s="531"/>
      <c r="E24" s="245"/>
      <c r="F24" s="249"/>
    </row>
    <row r="25" spans="2:6" x14ac:dyDescent="0.45">
      <c r="C25" s="244"/>
      <c r="D25" s="244"/>
      <c r="E25" s="245"/>
      <c r="F25" s="13"/>
    </row>
    <row r="26" spans="2:6" ht="37.5" customHeight="1" x14ac:dyDescent="0.45">
      <c r="B26" s="513" t="s">
        <v>608</v>
      </c>
      <c r="C26" s="513"/>
      <c r="D26" s="513"/>
      <c r="E26" s="513"/>
      <c r="F26" s="513"/>
    </row>
    <row r="27" spans="2:6" ht="37.5" customHeight="1" x14ac:dyDescent="0.45">
      <c r="B27" s="513" t="s">
        <v>602</v>
      </c>
      <c r="C27" s="513"/>
      <c r="D27" s="513"/>
      <c r="E27" s="513"/>
      <c r="F27" s="513"/>
    </row>
    <row r="28" spans="2:6" x14ac:dyDescent="0.45">
      <c r="B28" s="513" t="s">
        <v>603</v>
      </c>
      <c r="C28" s="513"/>
      <c r="D28" s="513"/>
      <c r="E28" s="513"/>
      <c r="F28" s="513"/>
    </row>
    <row r="29" spans="2:6" ht="18.75" customHeight="1" x14ac:dyDescent="0.45">
      <c r="B29" s="510" t="s">
        <v>940</v>
      </c>
      <c r="C29" s="510"/>
      <c r="D29" s="510"/>
      <c r="E29" s="510"/>
      <c r="F29" s="510"/>
    </row>
    <row r="30" spans="2:6" ht="18.75" customHeight="1" x14ac:dyDescent="0.45">
      <c r="B30" s="510" t="s">
        <v>933</v>
      </c>
      <c r="C30" s="510"/>
      <c r="D30" s="510"/>
      <c r="E30" s="510"/>
      <c r="F30" s="510"/>
    </row>
    <row r="31" spans="2:6" ht="18.75" customHeight="1" x14ac:dyDescent="0.45">
      <c r="B31" s="487" t="s">
        <v>936</v>
      </c>
      <c r="C31" s="487"/>
      <c r="D31" s="487"/>
      <c r="E31" s="487"/>
      <c r="F31" s="487"/>
    </row>
    <row r="32" spans="2:6" x14ac:dyDescent="0.45">
      <c r="B32" s="486" t="s">
        <v>934</v>
      </c>
      <c r="C32" s="484"/>
      <c r="D32" s="484"/>
      <c r="E32" s="484"/>
      <c r="F32" s="484"/>
    </row>
    <row r="33" spans="2:6" x14ac:dyDescent="0.45">
      <c r="B33" s="483"/>
      <c r="C33" s="483"/>
      <c r="D33" s="483"/>
      <c r="E33" s="483"/>
      <c r="F33" s="483"/>
    </row>
    <row r="34" spans="2:6" s="51" customFormat="1" x14ac:dyDescent="0.45">
      <c r="B34" s="165" t="s">
        <v>605</v>
      </c>
      <c r="C34" s="165"/>
      <c r="D34" s="165" t="s">
        <v>606</v>
      </c>
    </row>
    <row r="35" spans="2:6" s="51" customFormat="1" x14ac:dyDescent="0.45"/>
    <row r="36" spans="2:6" s="51" customFormat="1" x14ac:dyDescent="0.45"/>
    <row r="37" spans="2:6" ht="19" thickBot="1" x14ac:dyDescent="0.5">
      <c r="B37" s="49"/>
      <c r="D37" s="514"/>
      <c r="E37" s="514"/>
    </row>
    <row r="38" spans="2:6" x14ac:dyDescent="0.45">
      <c r="B38" s="8">
        <f>Input!D4</f>
        <v>0</v>
      </c>
      <c r="D38" s="50">
        <f>Input!D5</f>
        <v>0</v>
      </c>
    </row>
    <row r="39" spans="2:6" x14ac:dyDescent="0.45">
      <c r="D39" s="50"/>
    </row>
    <row r="40" spans="2:6" s="51" customFormat="1" x14ac:dyDescent="0.45">
      <c r="B40" s="165" t="s">
        <v>607</v>
      </c>
    </row>
    <row r="41" spans="2:6" s="51" customFormat="1" x14ac:dyDescent="0.45"/>
    <row r="42" spans="2:6" s="51" customFormat="1" x14ac:dyDescent="0.45"/>
    <row r="43" spans="2:6" ht="19" thickBot="1" x14ac:dyDescent="0.5">
      <c r="B43" s="49"/>
    </row>
    <row r="44" spans="2:6" x14ac:dyDescent="0.45">
      <c r="B44" s="8">
        <f>Input!D6</f>
        <v>0</v>
      </c>
    </row>
  </sheetData>
  <sheetProtection algorithmName="SHA-512" hashValue="LWevFVJvNPtwH9UZU3Qa8os4qVKFVIHsEUVRgToVUhGIjr4P+iaRdEz5acbJWLphh3jMcGKX85YmzM98M3scLg==" saltValue="9CuNRyKLGqBSswSbl+sNBg==" spinCount="100000" sheet="1" objects="1" scenarios="1"/>
  <mergeCells count="15">
    <mergeCell ref="D37:E37"/>
    <mergeCell ref="C20:D20"/>
    <mergeCell ref="C24:D24"/>
    <mergeCell ref="C22:D22"/>
    <mergeCell ref="B29:F29"/>
    <mergeCell ref="B26:F26"/>
    <mergeCell ref="B27:F27"/>
    <mergeCell ref="B28:F28"/>
    <mergeCell ref="C21:D21"/>
    <mergeCell ref="B30:F30"/>
    <mergeCell ref="C1:D1"/>
    <mergeCell ref="B3:D3"/>
    <mergeCell ref="B4:D4"/>
    <mergeCell ref="C18:E18"/>
    <mergeCell ref="C19:D19"/>
  </mergeCells>
  <conditionalFormatting sqref="D38:D39">
    <cfRule type="expression" dxfId="77" priority="7">
      <formula>$D$38=0</formula>
    </cfRule>
  </conditionalFormatting>
  <conditionalFormatting sqref="B44">
    <cfRule type="expression" dxfId="76" priority="6">
      <formula>$B$44=0</formula>
    </cfRule>
  </conditionalFormatting>
  <conditionalFormatting sqref="B38">
    <cfRule type="expression" dxfId="75" priority="5">
      <formula>$B$38=0</formula>
    </cfRule>
  </conditionalFormatting>
  <conditionalFormatting sqref="C5">
    <cfRule type="expression" dxfId="74" priority="4">
      <formula>$C$5=0</formula>
    </cfRule>
  </conditionalFormatting>
  <conditionalFormatting sqref="D5">
    <cfRule type="expression" dxfId="73" priority="3">
      <formula>$D$5=0</formula>
    </cfRule>
  </conditionalFormatting>
  <pageMargins left="0.7" right="0.7" top="0.75" bottom="0.75" header="0.3" footer="0.3"/>
  <pageSetup scale="57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398E9C"/>
    <pageSetUpPr fitToPage="1"/>
  </sheetPr>
  <dimension ref="B1:G62"/>
  <sheetViews>
    <sheetView showGridLines="0" view="pageBreakPreview" zoomScale="51" zoomScaleNormal="100" zoomScaleSheetLayoutView="75" workbookViewId="0">
      <selection activeCell="B51" sqref="B51:F51"/>
    </sheetView>
  </sheetViews>
  <sheetFormatPr defaultColWidth="8.81640625" defaultRowHeight="18.5" x14ac:dyDescent="0.45"/>
  <cols>
    <col min="1" max="1" width="4" style="8" customWidth="1"/>
    <col min="2" max="2" width="32.1796875" style="8" customWidth="1"/>
    <col min="3" max="3" width="12.54296875" style="8" customWidth="1"/>
    <col min="4" max="4" width="29.1796875" style="8" customWidth="1"/>
    <col min="5" max="5" width="32.7265625" style="8" customWidth="1"/>
    <col min="6" max="6" width="25.7265625" style="8" customWidth="1"/>
    <col min="7" max="7" width="4.81640625" style="8" hidden="1" customWidth="1"/>
    <col min="8" max="16384" width="8.81640625" style="8"/>
  </cols>
  <sheetData>
    <row r="1" spans="2:6" x14ac:dyDescent="0.45">
      <c r="B1" s="11" t="s">
        <v>598</v>
      </c>
      <c r="C1" s="515">
        <f>Input!D4</f>
        <v>0</v>
      </c>
      <c r="D1" s="515"/>
    </row>
    <row r="2" spans="2:6" ht="19" thickBot="1" x14ac:dyDescent="0.5"/>
    <row r="3" spans="2:6" x14ac:dyDescent="0.45">
      <c r="B3" s="516" t="str">
        <f>"Brentville International - "&amp;Input!D7</f>
        <v>Brentville International - The Arborage</v>
      </c>
      <c r="C3" s="517"/>
      <c r="D3" s="518"/>
    </row>
    <row r="4" spans="2:6" x14ac:dyDescent="0.45">
      <c r="B4" s="519" t="str">
        <f>'Summary - All Clusters'!C5</f>
        <v>B-B2-L10</v>
      </c>
      <c r="C4" s="520"/>
      <c r="D4" s="521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00">
        <f>C5*10.76391</f>
        <v>1808.3368799999998</v>
      </c>
      <c r="F5" s="27"/>
    </row>
    <row r="6" spans="2:6" s="11" customFormat="1" x14ac:dyDescent="0.45">
      <c r="B6" s="32" t="s">
        <v>900</v>
      </c>
      <c r="C6" s="40"/>
      <c r="D6" s="201">
        <f>'Summary - Arborage B'!E142</f>
        <v>5641104</v>
      </c>
    </row>
    <row r="7" spans="2:6" s="11" customFormat="1" hidden="1" x14ac:dyDescent="0.45">
      <c r="B7" s="424" t="s">
        <v>899</v>
      </c>
      <c r="C7" s="425"/>
      <c r="D7" s="426"/>
      <c r="E7" s="423"/>
    </row>
    <row r="8" spans="2:6" s="11" customFormat="1" hidden="1" x14ac:dyDescent="0.45">
      <c r="B8" s="32" t="s">
        <v>584</v>
      </c>
      <c r="C8" s="40"/>
      <c r="D8" s="201"/>
    </row>
    <row r="9" spans="2:6" x14ac:dyDescent="0.45">
      <c r="B9" s="131" t="str">
        <f>'Summary - All Clusters'!C19</f>
        <v>Add VAT:</v>
      </c>
      <c r="C9" s="38"/>
      <c r="D9" s="203">
        <f>D6*12%</f>
        <v>676932.48</v>
      </c>
      <c r="E9" s="18"/>
    </row>
    <row r="10" spans="2:6" x14ac:dyDescent="0.45">
      <c r="B10" s="131" t="str">
        <f>'Summary - All Clusters'!C20</f>
        <v>Add Other Charges:</v>
      </c>
      <c r="C10" s="38"/>
      <c r="D10" s="203">
        <f>D6*4%</f>
        <v>225644.16</v>
      </c>
      <c r="E10" s="18"/>
      <c r="F10" s="18"/>
    </row>
    <row r="11" spans="2:6" x14ac:dyDescent="0.45">
      <c r="B11" s="424" t="s">
        <v>932</v>
      </c>
      <c r="C11" s="428"/>
      <c r="D11" s="429">
        <f>IF(C16="PAYMENT TERM NOT AVAILABLE FOR THIS PROPERTY",0,25000)</f>
        <v>25000</v>
      </c>
    </row>
    <row r="12" spans="2:6" s="11" customFormat="1" ht="19" thickBot="1" x14ac:dyDescent="0.5">
      <c r="B12" s="33" t="str">
        <f>'Summary - All Clusters'!C24</f>
        <v>Total Contract Price:</v>
      </c>
      <c r="C12" s="41"/>
      <c r="D12" s="204">
        <f>ROUND(D6+D9+D10-D11,-2)</f>
        <v>6518700</v>
      </c>
      <c r="E12" s="19"/>
    </row>
    <row r="13" spans="2:6" x14ac:dyDescent="0.45">
      <c r="B13" s="42" t="str">
        <f>'Summary - All Clusters'!B8</f>
        <v>Computation generated on:</v>
      </c>
      <c r="C13" s="10">
        <f ca="1">'Summary - All Clusters'!C8</f>
        <v>44061</v>
      </c>
    </row>
    <row r="14" spans="2:6" x14ac:dyDescent="0.45">
      <c r="B14" s="43" t="s">
        <v>599</v>
      </c>
    </row>
    <row r="15" spans="2:6" ht="19" thickBot="1" x14ac:dyDescent="0.5"/>
    <row r="16" spans="2:6" x14ac:dyDescent="0.45">
      <c r="C16" s="522" t="str">
        <f>IF(AND(Input!$E$8="B-",Input!$D$7=Input!$H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No DP / 50k MA (mo 1-23) / 2.5% Bullet (mo 6,12,18) / Lumpsum","PAYMENT TERM NOT AVAILABLE FOR THIS PROPERTY")</f>
        <v>No DP / 50k MA (mo 1-23) / 2.5% Bullet (mo 6,12,18) / Lumpsum</v>
      </c>
      <c r="D16" s="523"/>
      <c r="E16" s="524"/>
    </row>
    <row r="17" spans="2:6" x14ac:dyDescent="0.45">
      <c r="C17" s="525" t="s">
        <v>600</v>
      </c>
      <c r="D17" s="526"/>
      <c r="E17" s="46" t="s">
        <v>601</v>
      </c>
    </row>
    <row r="18" spans="2:6" x14ac:dyDescent="0.45">
      <c r="C18" s="529">
        <f ca="1">C13</f>
        <v>44061</v>
      </c>
      <c r="D18" s="530"/>
      <c r="E18" s="47">
        <f>IF(C16="PAYMENT TERM NOT AVAILABLE FOR THIS PROPERTY",0,25000)</f>
        <v>25000</v>
      </c>
      <c r="F18" s="474" t="s">
        <v>609</v>
      </c>
    </row>
    <row r="19" spans="2:6" x14ac:dyDescent="0.45">
      <c r="C19" s="529">
        <f ca="1">EDATE(C18,1)</f>
        <v>44092</v>
      </c>
      <c r="D19" s="530"/>
      <c r="E19" s="47">
        <f>IF($C$16="PAYMENT TERM NOT AVAILABLE FOR THIS PROPERTY",0,(50000))</f>
        <v>50000</v>
      </c>
      <c r="F19" s="474"/>
    </row>
    <row r="20" spans="2:6" x14ac:dyDescent="0.45">
      <c r="B20" s="250"/>
      <c r="C20" s="529">
        <f t="shared" ref="C20:C42" ca="1" si="0">EDATE(C19,1)</f>
        <v>44122</v>
      </c>
      <c r="D20" s="530"/>
      <c r="E20" s="47">
        <f>IF($C$16="PAYMENT TERM NOT AVAILABLE FOR THIS PROPERTY",0,(50000))</f>
        <v>50000</v>
      </c>
      <c r="F20" s="13"/>
    </row>
    <row r="21" spans="2:6" x14ac:dyDescent="0.45">
      <c r="B21" s="250"/>
      <c r="C21" s="529">
        <f t="shared" ca="1" si="0"/>
        <v>44153</v>
      </c>
      <c r="D21" s="530"/>
      <c r="E21" s="47">
        <f t="shared" ref="E21:E41" si="1">E20</f>
        <v>50000</v>
      </c>
      <c r="F21" s="13"/>
    </row>
    <row r="22" spans="2:6" x14ac:dyDescent="0.45">
      <c r="B22" s="250"/>
      <c r="C22" s="529">
        <f t="shared" ca="1" si="0"/>
        <v>44183</v>
      </c>
      <c r="D22" s="530"/>
      <c r="E22" s="47">
        <f t="shared" si="1"/>
        <v>50000</v>
      </c>
      <c r="F22" s="13"/>
    </row>
    <row r="23" spans="2:6" x14ac:dyDescent="0.45">
      <c r="B23" s="250"/>
      <c r="C23" s="529">
        <f t="shared" ca="1" si="0"/>
        <v>44214</v>
      </c>
      <c r="D23" s="530"/>
      <c r="E23" s="47">
        <f t="shared" si="1"/>
        <v>50000</v>
      </c>
      <c r="F23" s="13"/>
    </row>
    <row r="24" spans="2:6" x14ac:dyDescent="0.45">
      <c r="B24" s="250"/>
      <c r="C24" s="529">
        <f t="shared" ca="1" si="0"/>
        <v>44245</v>
      </c>
      <c r="D24" s="530"/>
      <c r="E24" s="47">
        <f>IF($C$16="PAYMENT TERM NOT AVAILABLE FOR THIS PROPERTY",0,(D12*2.5%))</f>
        <v>162967.5</v>
      </c>
      <c r="F24" s="13"/>
    </row>
    <row r="25" spans="2:6" x14ac:dyDescent="0.45">
      <c r="B25" s="250"/>
      <c r="C25" s="529">
        <f t="shared" ca="1" si="0"/>
        <v>44273</v>
      </c>
      <c r="D25" s="530"/>
      <c r="E25" s="47">
        <f>E23</f>
        <v>50000</v>
      </c>
      <c r="F25" s="13"/>
    </row>
    <row r="26" spans="2:6" x14ac:dyDescent="0.45">
      <c r="B26" s="250"/>
      <c r="C26" s="529">
        <f t="shared" ca="1" si="0"/>
        <v>44304</v>
      </c>
      <c r="D26" s="530"/>
      <c r="E26" s="47">
        <f t="shared" si="1"/>
        <v>50000</v>
      </c>
      <c r="F26" s="13"/>
    </row>
    <row r="27" spans="2:6" x14ac:dyDescent="0.45">
      <c r="B27" s="250"/>
      <c r="C27" s="529">
        <f t="shared" ca="1" si="0"/>
        <v>44334</v>
      </c>
      <c r="D27" s="530"/>
      <c r="E27" s="47">
        <f t="shared" si="1"/>
        <v>50000</v>
      </c>
      <c r="F27" s="13"/>
    </row>
    <row r="28" spans="2:6" x14ac:dyDescent="0.45">
      <c r="B28" s="250"/>
      <c r="C28" s="529">
        <f t="shared" ca="1" si="0"/>
        <v>44365</v>
      </c>
      <c r="D28" s="530"/>
      <c r="E28" s="47">
        <f t="shared" si="1"/>
        <v>50000</v>
      </c>
      <c r="F28" s="13"/>
    </row>
    <row r="29" spans="2:6" x14ac:dyDescent="0.45">
      <c r="B29" s="250"/>
      <c r="C29" s="529">
        <f t="shared" ca="1" si="0"/>
        <v>44395</v>
      </c>
      <c r="D29" s="530"/>
      <c r="E29" s="47">
        <f t="shared" si="1"/>
        <v>50000</v>
      </c>
      <c r="F29" s="13"/>
    </row>
    <row r="30" spans="2:6" x14ac:dyDescent="0.45">
      <c r="B30" s="250"/>
      <c r="C30" s="529">
        <f t="shared" ca="1" si="0"/>
        <v>44426</v>
      </c>
      <c r="D30" s="530"/>
      <c r="E30" s="47">
        <f>IF($C$16="PAYMENT TERM NOT AVAILABLE FOR THIS PROPERTY",0,(D12*2.5%))</f>
        <v>162967.5</v>
      </c>
      <c r="F30" s="13"/>
    </row>
    <row r="31" spans="2:6" x14ac:dyDescent="0.45">
      <c r="B31" s="250"/>
      <c r="C31" s="529">
        <f t="shared" ca="1" si="0"/>
        <v>44457</v>
      </c>
      <c r="D31" s="530"/>
      <c r="E31" s="47">
        <f>E29</f>
        <v>50000</v>
      </c>
      <c r="F31" s="13"/>
    </row>
    <row r="32" spans="2:6" x14ac:dyDescent="0.45">
      <c r="B32" s="250"/>
      <c r="C32" s="529">
        <f t="shared" ca="1" si="0"/>
        <v>44487</v>
      </c>
      <c r="D32" s="530"/>
      <c r="E32" s="47">
        <f t="shared" si="1"/>
        <v>50000</v>
      </c>
      <c r="F32" s="13"/>
    </row>
    <row r="33" spans="2:7" x14ac:dyDescent="0.45">
      <c r="B33" s="250"/>
      <c r="C33" s="529">
        <f t="shared" ca="1" si="0"/>
        <v>44518</v>
      </c>
      <c r="D33" s="530"/>
      <c r="E33" s="47">
        <f t="shared" si="1"/>
        <v>50000</v>
      </c>
      <c r="F33" s="13"/>
    </row>
    <row r="34" spans="2:7" x14ac:dyDescent="0.45">
      <c r="B34" s="250"/>
      <c r="C34" s="529">
        <f t="shared" ca="1" si="0"/>
        <v>44548</v>
      </c>
      <c r="D34" s="530"/>
      <c r="E34" s="47">
        <f t="shared" si="1"/>
        <v>50000</v>
      </c>
      <c r="F34" s="13"/>
    </row>
    <row r="35" spans="2:7" x14ac:dyDescent="0.45">
      <c r="B35" s="250"/>
      <c r="C35" s="529">
        <f t="shared" ca="1" si="0"/>
        <v>44579</v>
      </c>
      <c r="D35" s="530"/>
      <c r="E35" s="47">
        <f t="shared" si="1"/>
        <v>50000</v>
      </c>
      <c r="F35" s="13"/>
    </row>
    <row r="36" spans="2:7" x14ac:dyDescent="0.45">
      <c r="B36" s="250"/>
      <c r="C36" s="529">
        <f t="shared" ca="1" si="0"/>
        <v>44610</v>
      </c>
      <c r="D36" s="530"/>
      <c r="E36" s="47">
        <f>IF($C$16="PAYMENT TERM NOT AVAILABLE FOR THIS PROPERTY",0,(D12*2.5%))</f>
        <v>162967.5</v>
      </c>
      <c r="F36" s="13"/>
    </row>
    <row r="37" spans="2:7" x14ac:dyDescent="0.45">
      <c r="B37" s="250"/>
      <c r="C37" s="529">
        <f t="shared" ca="1" si="0"/>
        <v>44638</v>
      </c>
      <c r="D37" s="530"/>
      <c r="E37" s="47">
        <f>E35</f>
        <v>50000</v>
      </c>
      <c r="F37" s="13"/>
    </row>
    <row r="38" spans="2:7" x14ac:dyDescent="0.45">
      <c r="B38" s="250"/>
      <c r="C38" s="529">
        <f t="shared" ca="1" si="0"/>
        <v>44669</v>
      </c>
      <c r="D38" s="530"/>
      <c r="E38" s="47">
        <f t="shared" si="1"/>
        <v>50000</v>
      </c>
      <c r="F38" s="13"/>
    </row>
    <row r="39" spans="2:7" x14ac:dyDescent="0.45">
      <c r="B39" s="250"/>
      <c r="C39" s="529">
        <f t="shared" ca="1" si="0"/>
        <v>44699</v>
      </c>
      <c r="D39" s="530"/>
      <c r="E39" s="47">
        <f t="shared" si="1"/>
        <v>50000</v>
      </c>
      <c r="F39" s="13"/>
    </row>
    <row r="40" spans="2:7" x14ac:dyDescent="0.45">
      <c r="B40" s="250"/>
      <c r="C40" s="529">
        <f t="shared" ca="1" si="0"/>
        <v>44730</v>
      </c>
      <c r="D40" s="530"/>
      <c r="E40" s="47">
        <f t="shared" si="1"/>
        <v>50000</v>
      </c>
      <c r="F40" s="13"/>
    </row>
    <row r="41" spans="2:7" x14ac:dyDescent="0.45">
      <c r="B41" s="250"/>
      <c r="C41" s="529">
        <f t="shared" ca="1" si="0"/>
        <v>44760</v>
      </c>
      <c r="D41" s="530"/>
      <c r="E41" s="47">
        <f t="shared" si="1"/>
        <v>50000</v>
      </c>
      <c r="F41" s="13"/>
    </row>
    <row r="42" spans="2:7" ht="19" thickBot="1" x14ac:dyDescent="0.5">
      <c r="B42" s="250"/>
      <c r="C42" s="527">
        <f t="shared" ca="1" si="0"/>
        <v>44791</v>
      </c>
      <c r="D42" s="528"/>
      <c r="E42" s="48">
        <f>IF(C16="PAYMENT TERM NOT AVAILABLE FOR THIS PROPERTY",0,(D12-SUM(E18:E41)))</f>
        <v>5004797.5</v>
      </c>
      <c r="F42" s="13"/>
    </row>
    <row r="43" spans="2:7" x14ac:dyDescent="0.45">
      <c r="B43" s="250"/>
      <c r="F43" s="13"/>
    </row>
    <row r="44" spans="2:7" hidden="1" x14ac:dyDescent="0.45">
      <c r="B44" s="250"/>
      <c r="C44" s="534">
        <f t="shared" ref="C44:C45" si="2">EDATE(C43,1)</f>
        <v>31</v>
      </c>
      <c r="D44" s="535"/>
      <c r="E44" s="446"/>
      <c r="F44" s="13"/>
    </row>
    <row r="45" spans="2:7" ht="19" hidden="1" thickBot="1" x14ac:dyDescent="0.5">
      <c r="B45" s="250"/>
      <c r="C45" s="527">
        <f t="shared" si="2"/>
        <v>59</v>
      </c>
      <c r="D45" s="528"/>
      <c r="E45" s="48"/>
      <c r="F45" s="13"/>
    </row>
    <row r="46" spans="2:7" x14ac:dyDescent="0.45">
      <c r="C46" s="444"/>
      <c r="D46" s="444"/>
      <c r="E46" s="245"/>
      <c r="F46" s="13"/>
    </row>
    <row r="47" spans="2:7" ht="37.5" customHeight="1" x14ac:dyDescent="0.45">
      <c r="B47" s="513" t="s">
        <v>608</v>
      </c>
      <c r="C47" s="513"/>
      <c r="D47" s="513"/>
      <c r="E47" s="513"/>
      <c r="F47" s="513"/>
      <c r="G47" s="513"/>
    </row>
    <row r="48" spans="2:7" ht="37.5" customHeight="1" x14ac:dyDescent="0.45">
      <c r="B48" s="513" t="s">
        <v>602</v>
      </c>
      <c r="C48" s="513"/>
      <c r="D48" s="513"/>
      <c r="E48" s="513"/>
      <c r="F48" s="513"/>
      <c r="G48" s="513"/>
    </row>
    <row r="49" spans="2:7" ht="37.5" customHeight="1" x14ac:dyDescent="0.45">
      <c r="B49" s="513" t="s">
        <v>603</v>
      </c>
      <c r="C49" s="513"/>
      <c r="D49" s="513"/>
      <c r="E49" s="513"/>
      <c r="F49" s="513"/>
      <c r="G49" s="513"/>
    </row>
    <row r="50" spans="2:7" ht="18.649999999999999" customHeight="1" x14ac:dyDescent="0.45">
      <c r="B50" s="510" t="s">
        <v>940</v>
      </c>
      <c r="C50" s="510"/>
      <c r="D50" s="510"/>
      <c r="E50" s="510"/>
      <c r="F50" s="510"/>
    </row>
    <row r="51" spans="2:7" ht="18.649999999999999" customHeight="1" x14ac:dyDescent="0.45">
      <c r="B51" s="510" t="s">
        <v>933</v>
      </c>
      <c r="C51" s="510"/>
      <c r="D51" s="510"/>
      <c r="E51" s="510"/>
      <c r="F51" s="510"/>
    </row>
    <row r="52" spans="2:7" x14ac:dyDescent="0.45">
      <c r="B52" s="487" t="s">
        <v>936</v>
      </c>
      <c r="C52" s="487"/>
      <c r="D52" s="487"/>
      <c r="E52" s="487"/>
      <c r="F52" s="487"/>
    </row>
    <row r="53" spans="2:7" x14ac:dyDescent="0.45">
      <c r="B53" s="486" t="s">
        <v>935</v>
      </c>
      <c r="C53" s="484"/>
      <c r="D53" s="484"/>
      <c r="E53" s="484"/>
      <c r="F53" s="484"/>
    </row>
    <row r="54" spans="2:7" x14ac:dyDescent="0.45">
      <c r="B54" s="445"/>
      <c r="C54" s="445"/>
      <c r="D54" s="445"/>
      <c r="E54" s="445"/>
      <c r="F54" s="445"/>
    </row>
    <row r="55" spans="2:7" s="51" customFormat="1" x14ac:dyDescent="0.45">
      <c r="B55" s="165" t="s">
        <v>605</v>
      </c>
      <c r="C55" s="165"/>
      <c r="D55" s="165" t="s">
        <v>606</v>
      </c>
    </row>
    <row r="56" spans="2:7" s="51" customFormat="1" x14ac:dyDescent="0.45"/>
    <row r="57" spans="2:7" ht="19" thickBot="1" x14ac:dyDescent="0.5">
      <c r="B57" s="49"/>
      <c r="D57" s="514"/>
      <c r="E57" s="514"/>
    </row>
    <row r="58" spans="2:7" x14ac:dyDescent="0.45">
      <c r="D58" s="50"/>
    </row>
    <row r="59" spans="2:7" s="51" customFormat="1" x14ac:dyDescent="0.45">
      <c r="B59" s="165" t="s">
        <v>607</v>
      </c>
    </row>
    <row r="60" spans="2:7" s="51" customFormat="1" x14ac:dyDescent="0.45"/>
    <row r="61" spans="2:7" ht="19" thickBot="1" x14ac:dyDescent="0.5">
      <c r="B61" s="49"/>
    </row>
    <row r="62" spans="2:7" x14ac:dyDescent="0.45">
      <c r="B62" s="8">
        <f>Input!D6</f>
        <v>0</v>
      </c>
    </row>
  </sheetData>
  <sheetProtection algorithmName="SHA-512" hashValue="cGhK5bSJ+1sSUtYy75O8D57IX+wWZ2ku/q1Rb2FXIJv4DNu1NaOSLJaJkLvJNYksktlf2J1fwZBmg5nbaQKBDw==" saltValue="K0V8flPOC/7DNz8APiqXLg==" spinCount="100000" sheet="1" objects="1" scenarios="1"/>
  <mergeCells count="38">
    <mergeCell ref="C39:D39"/>
    <mergeCell ref="C30:D30"/>
    <mergeCell ref="C19:D19"/>
    <mergeCell ref="D57:E57"/>
    <mergeCell ref="C44:D44"/>
    <mergeCell ref="C45:D45"/>
    <mergeCell ref="B47:G47"/>
    <mergeCell ref="B48:G48"/>
    <mergeCell ref="B49:G49"/>
    <mergeCell ref="B50:F50"/>
    <mergeCell ref="C32:D32"/>
    <mergeCell ref="C33:D33"/>
    <mergeCell ref="C34:D34"/>
    <mergeCell ref="C35:D35"/>
    <mergeCell ref="C36:D36"/>
    <mergeCell ref="C37:D37"/>
    <mergeCell ref="C38:D38"/>
    <mergeCell ref="C25:D25"/>
    <mergeCell ref="C26:D26"/>
    <mergeCell ref="C27:D27"/>
    <mergeCell ref="C28:D28"/>
    <mergeCell ref="C29:D29"/>
    <mergeCell ref="B51:F51"/>
    <mergeCell ref="C18:D18"/>
    <mergeCell ref="C1:D1"/>
    <mergeCell ref="B3:D3"/>
    <mergeCell ref="B4:D4"/>
    <mergeCell ref="C16:E16"/>
    <mergeCell ref="C17:D17"/>
    <mergeCell ref="C40:D40"/>
    <mergeCell ref="C41:D41"/>
    <mergeCell ref="C42:D42"/>
    <mergeCell ref="C31:D31"/>
    <mergeCell ref="C20:D20"/>
    <mergeCell ref="C21:D21"/>
    <mergeCell ref="C22:D22"/>
    <mergeCell ref="C23:D23"/>
    <mergeCell ref="C24:D24"/>
  </mergeCells>
  <conditionalFormatting sqref="B62">
    <cfRule type="expression" dxfId="72" priority="3">
      <formula>$B$62=0</formula>
    </cfRule>
  </conditionalFormatting>
  <conditionalFormatting sqref="C5">
    <cfRule type="expression" dxfId="71" priority="2">
      <formula>$C$5=0</formula>
    </cfRule>
  </conditionalFormatting>
  <conditionalFormatting sqref="D5">
    <cfRule type="expression" dxfId="70" priority="1">
      <formula>$D$5=0</formula>
    </cfRule>
  </conditionalFormatting>
  <conditionalFormatting sqref="D58">
    <cfRule type="expression" dxfId="69" priority="4">
      <formula>#REF!=0</formula>
    </cfRule>
  </conditionalFormatting>
  <pageMargins left="0.7" right="0.7" top="0.75" bottom="0.75" header="0.3" footer="0.3"/>
  <pageSetup scale="6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398E9C"/>
    <pageSetUpPr fitToPage="1"/>
  </sheetPr>
  <dimension ref="B1:G62"/>
  <sheetViews>
    <sheetView showGridLines="0" view="pageBreakPreview" zoomScale="55" zoomScaleNormal="100" zoomScaleSheetLayoutView="55" workbookViewId="0">
      <selection activeCell="B51" sqref="B51:F51"/>
    </sheetView>
  </sheetViews>
  <sheetFormatPr defaultColWidth="8.81640625" defaultRowHeight="18.5" x14ac:dyDescent="0.45"/>
  <cols>
    <col min="1" max="1" width="4" style="8" customWidth="1"/>
    <col min="2" max="2" width="32.1796875" style="8" customWidth="1"/>
    <col min="3" max="3" width="12.54296875" style="8" customWidth="1"/>
    <col min="4" max="4" width="28.54296875" style="8" customWidth="1"/>
    <col min="5" max="5" width="26.453125" style="8" customWidth="1"/>
    <col min="6" max="6" width="21.7265625" style="8" customWidth="1"/>
    <col min="7" max="7" width="4.81640625" style="8" hidden="1" customWidth="1"/>
    <col min="8" max="16384" width="8.81640625" style="8"/>
  </cols>
  <sheetData>
    <row r="1" spans="2:6" x14ac:dyDescent="0.45">
      <c r="B1" s="11" t="s">
        <v>598</v>
      </c>
      <c r="C1" s="515">
        <f>Input!D4</f>
        <v>0</v>
      </c>
      <c r="D1" s="515"/>
    </row>
    <row r="2" spans="2:6" ht="19" thickBot="1" x14ac:dyDescent="0.5"/>
    <row r="3" spans="2:6" x14ac:dyDescent="0.45">
      <c r="B3" s="516" t="str">
        <f>"Brentville International - "&amp;Input!D7</f>
        <v>Brentville International - The Arborage</v>
      </c>
      <c r="C3" s="517"/>
      <c r="D3" s="518"/>
    </row>
    <row r="4" spans="2:6" x14ac:dyDescent="0.45">
      <c r="B4" s="519" t="str">
        <f>'Summary - All Clusters'!C5</f>
        <v>B-B2-L10</v>
      </c>
      <c r="C4" s="520"/>
      <c r="D4" s="521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00">
        <f>C5*10.76391</f>
        <v>1808.3368799999998</v>
      </c>
      <c r="F5" s="27"/>
    </row>
    <row r="6" spans="2:6" s="11" customFormat="1" x14ac:dyDescent="0.45">
      <c r="B6" s="32" t="s">
        <v>900</v>
      </c>
      <c r="C6" s="40"/>
      <c r="D6" s="201">
        <f>'Summary - Arborage B'!E142</f>
        <v>5641104</v>
      </c>
    </row>
    <row r="7" spans="2:6" s="11" customFormat="1" hidden="1" x14ac:dyDescent="0.45">
      <c r="B7" s="424" t="s">
        <v>899</v>
      </c>
      <c r="C7" s="425"/>
      <c r="D7" s="426"/>
      <c r="E7" s="423"/>
    </row>
    <row r="8" spans="2:6" s="11" customFormat="1" hidden="1" x14ac:dyDescent="0.45">
      <c r="B8" s="32" t="s">
        <v>584</v>
      </c>
      <c r="C8" s="40"/>
      <c r="D8" s="201"/>
    </row>
    <row r="9" spans="2:6" x14ac:dyDescent="0.45">
      <c r="B9" s="131" t="str">
        <f>'Summary - All Clusters'!C19</f>
        <v>Add VAT:</v>
      </c>
      <c r="C9" s="38"/>
      <c r="D9" s="203">
        <f>D6*12%</f>
        <v>676932.48</v>
      </c>
      <c r="E9" s="18"/>
    </row>
    <row r="10" spans="2:6" x14ac:dyDescent="0.45">
      <c r="B10" s="131" t="str">
        <f>'Summary - All Clusters'!C20</f>
        <v>Add Other Charges:</v>
      </c>
      <c r="C10" s="38"/>
      <c r="D10" s="203">
        <f>D6*4%</f>
        <v>225644.16</v>
      </c>
      <c r="E10" s="18"/>
      <c r="F10" s="18"/>
    </row>
    <row r="11" spans="2:6" x14ac:dyDescent="0.45">
      <c r="B11" s="424" t="s">
        <v>932</v>
      </c>
      <c r="C11" s="428"/>
      <c r="D11" s="429">
        <f>IF(C16="PAYMENT TERM NOT AVAILABLE FOR THIS PROPERTY",0,25000)</f>
        <v>25000</v>
      </c>
    </row>
    <row r="12" spans="2:6" s="11" customFormat="1" ht="19" thickBot="1" x14ac:dyDescent="0.5">
      <c r="B12" s="33" t="str">
        <f>'Summary - All Clusters'!C24</f>
        <v>Total Contract Price:</v>
      </c>
      <c r="C12" s="41"/>
      <c r="D12" s="204">
        <f>ROUND(D6+D9+D10-D11,-2)</f>
        <v>6518700</v>
      </c>
      <c r="E12" s="19"/>
    </row>
    <row r="13" spans="2:6" x14ac:dyDescent="0.45">
      <c r="B13" s="42" t="str">
        <f>'Summary - All Clusters'!B8</f>
        <v>Computation generated on:</v>
      </c>
      <c r="C13" s="10">
        <f ca="1">'Summary - All Clusters'!C8</f>
        <v>44061</v>
      </c>
    </row>
    <row r="14" spans="2:6" x14ac:dyDescent="0.45">
      <c r="B14" s="43" t="s">
        <v>599</v>
      </c>
    </row>
    <row r="15" spans="2:6" ht="19" thickBot="1" x14ac:dyDescent="0.5"/>
    <row r="16" spans="2:6" x14ac:dyDescent="0.45">
      <c r="C16" s="522" t="str">
        <f>IF(AND(Input!$E$8="B-",Input!$D$7=Input!$H$3,OR(Input!D8=Input!C21,Input!D8=Input!C22,Input!D8=Input!C23,Input!D8=Input!C24,Input!D8=Input!C25,Input!D8=Input!C26,Input!D8=Input!C27,Input!D8=Input!C28,Input!D8=Input!C29,Input!D8=Input!C30,Input!D8=Input!C31,Input!D8=Input!C32,Input!D8=Input!C33,Input!D8=Input!C34,Input!D8=Input!C35,Input!D8=Input!C36,Input!D8=Input!C37,Input!D8=Input!C38,Input!D8=Input!C39,Input!D8=Input!C40,Input!D8=Input!C41,Input!D8=Input!C42,Input!D8=Input!C43,Input!D8=Input!C44,Input!D8=Input!C45,Input!D8=Input!C46,Input!D8=Input!C47,Input!D8=Input!C48,Input!D8=Input!C49,Input!D8=Input!C50,Input!D8=Input!C51,Input!D8=Input!C52,Input!D8=Input!C53,Input!D8=Input!C54,Input!D8=Input!C55,Input!D8=Input!C56,Input!D8=Input!C57,Input!D8=Input!C58,Input!D8=Input!C59,Input!D8=Input!C60,Input!D8=Input!C61,Input!D8=Input!C62,Input!D8=Input!C63,Input!D8=Input!C64,Input!D8=Input!C65,Input!D8=Input!C66,Input!D8=Input!C67,Input!D8=Input!C68,Input!D8=Input!C69,Input!D8=Input!C70,Input!D8=Input!C71,Input!D8=Input!C72,Input!D8=Input!C73,Input!D8=Input!C74)),"No DP / 50k MA (mo 1-23) / 5% Bullet (mo 12) / Lumpsum","PAYMENT TERM NOT AVAILABLE FOR THIS PROPERTY")</f>
        <v>No DP / 50k MA (mo 1-23) / 5% Bullet (mo 12) / Lumpsum</v>
      </c>
      <c r="D16" s="523"/>
      <c r="E16" s="524"/>
    </row>
    <row r="17" spans="2:6" x14ac:dyDescent="0.45">
      <c r="C17" s="525" t="s">
        <v>600</v>
      </c>
      <c r="D17" s="526"/>
      <c r="E17" s="46" t="s">
        <v>601</v>
      </c>
    </row>
    <row r="18" spans="2:6" x14ac:dyDescent="0.45">
      <c r="C18" s="529">
        <f ca="1">C13</f>
        <v>44061</v>
      </c>
      <c r="D18" s="530"/>
      <c r="E18" s="47">
        <f>IF(C16="PAYMENT TERM NOT AVAILABLE FOR THIS PROPERTY",0,25000)</f>
        <v>25000</v>
      </c>
      <c r="F18" s="474" t="s">
        <v>609</v>
      </c>
    </row>
    <row r="19" spans="2:6" x14ac:dyDescent="0.45">
      <c r="C19" s="529">
        <f ca="1">EDATE(C18,1)</f>
        <v>44092</v>
      </c>
      <c r="D19" s="530"/>
      <c r="E19" s="47">
        <f>IF($C$16="PAYMENT TERM NOT AVAILABLE FOR THIS PROPERTY",0,(50000))</f>
        <v>50000</v>
      </c>
      <c r="F19" s="474"/>
    </row>
    <row r="20" spans="2:6" x14ac:dyDescent="0.45">
      <c r="B20" s="250"/>
      <c r="C20" s="529">
        <f t="shared" ref="C20:C26" ca="1" si="0">EDATE(C19,1)</f>
        <v>44122</v>
      </c>
      <c r="D20" s="530"/>
      <c r="E20" s="47">
        <f>IF($C$16="PAYMENT TERM NOT AVAILABLE FOR THIS PROPERTY",0,(50000))</f>
        <v>50000</v>
      </c>
      <c r="F20" s="13"/>
    </row>
    <row r="21" spans="2:6" x14ac:dyDescent="0.45">
      <c r="B21" s="250"/>
      <c r="C21" s="529">
        <f t="shared" ca="1" si="0"/>
        <v>44153</v>
      </c>
      <c r="D21" s="530"/>
      <c r="E21" s="47">
        <f t="shared" ref="E21:E41" si="1">E20</f>
        <v>50000</v>
      </c>
      <c r="F21" s="13"/>
    </row>
    <row r="22" spans="2:6" x14ac:dyDescent="0.45">
      <c r="B22" s="250"/>
      <c r="C22" s="529">
        <f t="shared" ca="1" si="0"/>
        <v>44183</v>
      </c>
      <c r="D22" s="530"/>
      <c r="E22" s="47">
        <f t="shared" si="1"/>
        <v>50000</v>
      </c>
      <c r="F22" s="13"/>
    </row>
    <row r="23" spans="2:6" x14ac:dyDescent="0.45">
      <c r="B23" s="250"/>
      <c r="C23" s="529">
        <f t="shared" ca="1" si="0"/>
        <v>44214</v>
      </c>
      <c r="D23" s="530"/>
      <c r="E23" s="47">
        <f t="shared" si="1"/>
        <v>50000</v>
      </c>
      <c r="F23" s="13"/>
    </row>
    <row r="24" spans="2:6" x14ac:dyDescent="0.45">
      <c r="B24" s="250"/>
      <c r="C24" s="529">
        <f t="shared" ca="1" si="0"/>
        <v>44245</v>
      </c>
      <c r="D24" s="530"/>
      <c r="E24" s="47">
        <f t="shared" si="1"/>
        <v>50000</v>
      </c>
      <c r="F24" s="13"/>
    </row>
    <row r="25" spans="2:6" x14ac:dyDescent="0.45">
      <c r="B25" s="250"/>
      <c r="C25" s="529">
        <f t="shared" ca="1" si="0"/>
        <v>44273</v>
      </c>
      <c r="D25" s="530"/>
      <c r="E25" s="47">
        <f t="shared" si="1"/>
        <v>50000</v>
      </c>
      <c r="F25" s="13"/>
    </row>
    <row r="26" spans="2:6" x14ac:dyDescent="0.45">
      <c r="B26" s="250"/>
      <c r="C26" s="529">
        <f t="shared" ca="1" si="0"/>
        <v>44304</v>
      </c>
      <c r="D26" s="530"/>
      <c r="E26" s="47">
        <f t="shared" si="1"/>
        <v>50000</v>
      </c>
      <c r="F26" s="13"/>
    </row>
    <row r="27" spans="2:6" x14ac:dyDescent="0.45">
      <c r="B27" s="250"/>
      <c r="C27" s="529">
        <f t="shared" ref="C27:C42" ca="1" si="2">EDATE(C26,1)</f>
        <v>44334</v>
      </c>
      <c r="D27" s="530"/>
      <c r="E27" s="47">
        <f t="shared" si="1"/>
        <v>50000</v>
      </c>
      <c r="F27" s="13"/>
    </row>
    <row r="28" spans="2:6" x14ac:dyDescent="0.45">
      <c r="B28" s="250"/>
      <c r="C28" s="529">
        <f t="shared" ca="1" si="2"/>
        <v>44365</v>
      </c>
      <c r="D28" s="530"/>
      <c r="E28" s="47">
        <f t="shared" si="1"/>
        <v>50000</v>
      </c>
      <c r="F28" s="13"/>
    </row>
    <row r="29" spans="2:6" x14ac:dyDescent="0.45">
      <c r="B29" s="250"/>
      <c r="C29" s="529">
        <f t="shared" ca="1" si="2"/>
        <v>44395</v>
      </c>
      <c r="D29" s="530"/>
      <c r="E29" s="47">
        <f t="shared" si="1"/>
        <v>50000</v>
      </c>
      <c r="F29" s="13"/>
    </row>
    <row r="30" spans="2:6" x14ac:dyDescent="0.45">
      <c r="B30" s="250"/>
      <c r="C30" s="529">
        <f t="shared" ca="1" si="2"/>
        <v>44426</v>
      </c>
      <c r="D30" s="530"/>
      <c r="E30" s="47">
        <f>IF($C$16="PAYMENT TERM NOT AVAILABLE FOR THIS PROPERTY",0,(D12*5%))</f>
        <v>325935</v>
      </c>
      <c r="F30" s="13"/>
    </row>
    <row r="31" spans="2:6" x14ac:dyDescent="0.45">
      <c r="B31" s="250"/>
      <c r="C31" s="529">
        <f t="shared" ca="1" si="2"/>
        <v>44457</v>
      </c>
      <c r="D31" s="530"/>
      <c r="E31" s="47">
        <f>E29</f>
        <v>50000</v>
      </c>
      <c r="F31" s="13"/>
    </row>
    <row r="32" spans="2:6" x14ac:dyDescent="0.45">
      <c r="B32" s="250"/>
      <c r="C32" s="529">
        <f t="shared" ca="1" si="2"/>
        <v>44487</v>
      </c>
      <c r="D32" s="530"/>
      <c r="E32" s="47">
        <f t="shared" si="1"/>
        <v>50000</v>
      </c>
      <c r="F32" s="13"/>
    </row>
    <row r="33" spans="2:7" x14ac:dyDescent="0.45">
      <c r="B33" s="250"/>
      <c r="C33" s="529">
        <f t="shared" ca="1" si="2"/>
        <v>44518</v>
      </c>
      <c r="D33" s="530"/>
      <c r="E33" s="47">
        <f t="shared" si="1"/>
        <v>50000</v>
      </c>
      <c r="F33" s="13"/>
    </row>
    <row r="34" spans="2:7" x14ac:dyDescent="0.45">
      <c r="B34" s="250"/>
      <c r="C34" s="529">
        <f t="shared" ca="1" si="2"/>
        <v>44548</v>
      </c>
      <c r="D34" s="530"/>
      <c r="E34" s="47">
        <f t="shared" si="1"/>
        <v>50000</v>
      </c>
      <c r="F34" s="13"/>
    </row>
    <row r="35" spans="2:7" x14ac:dyDescent="0.45">
      <c r="B35" s="250"/>
      <c r="C35" s="529">
        <f t="shared" ca="1" si="2"/>
        <v>44579</v>
      </c>
      <c r="D35" s="530"/>
      <c r="E35" s="47">
        <f t="shared" si="1"/>
        <v>50000</v>
      </c>
      <c r="F35" s="13"/>
    </row>
    <row r="36" spans="2:7" x14ac:dyDescent="0.45">
      <c r="B36" s="250"/>
      <c r="C36" s="529">
        <f t="shared" ca="1" si="2"/>
        <v>44610</v>
      </c>
      <c r="D36" s="530"/>
      <c r="E36" s="47">
        <f t="shared" si="1"/>
        <v>50000</v>
      </c>
      <c r="F36" s="13"/>
    </row>
    <row r="37" spans="2:7" x14ac:dyDescent="0.45">
      <c r="B37" s="250"/>
      <c r="C37" s="529">
        <f t="shared" ca="1" si="2"/>
        <v>44638</v>
      </c>
      <c r="D37" s="530"/>
      <c r="E37" s="47">
        <f t="shared" si="1"/>
        <v>50000</v>
      </c>
      <c r="F37" s="13"/>
    </row>
    <row r="38" spans="2:7" x14ac:dyDescent="0.45">
      <c r="B38" s="250"/>
      <c r="C38" s="529">
        <f t="shared" ca="1" si="2"/>
        <v>44669</v>
      </c>
      <c r="D38" s="530"/>
      <c r="E38" s="47">
        <f t="shared" si="1"/>
        <v>50000</v>
      </c>
      <c r="F38" s="13"/>
    </row>
    <row r="39" spans="2:7" x14ac:dyDescent="0.45">
      <c r="B39" s="250"/>
      <c r="C39" s="529">
        <f t="shared" ca="1" si="2"/>
        <v>44699</v>
      </c>
      <c r="D39" s="530"/>
      <c r="E39" s="47">
        <f t="shared" si="1"/>
        <v>50000</v>
      </c>
      <c r="F39" s="13"/>
    </row>
    <row r="40" spans="2:7" x14ac:dyDescent="0.45">
      <c r="B40" s="250"/>
      <c r="C40" s="529">
        <f t="shared" ca="1" si="2"/>
        <v>44730</v>
      </c>
      <c r="D40" s="530"/>
      <c r="E40" s="47">
        <f t="shared" si="1"/>
        <v>50000</v>
      </c>
      <c r="F40" s="13"/>
    </row>
    <row r="41" spans="2:7" x14ac:dyDescent="0.45">
      <c r="B41" s="250"/>
      <c r="C41" s="529">
        <f t="shared" ca="1" si="2"/>
        <v>44760</v>
      </c>
      <c r="D41" s="530"/>
      <c r="E41" s="47">
        <f t="shared" si="1"/>
        <v>50000</v>
      </c>
      <c r="F41" s="13"/>
    </row>
    <row r="42" spans="2:7" ht="19" thickBot="1" x14ac:dyDescent="0.5">
      <c r="B42" s="250"/>
      <c r="C42" s="527">
        <f t="shared" ca="1" si="2"/>
        <v>44791</v>
      </c>
      <c r="D42" s="528"/>
      <c r="E42" s="48">
        <f>IF(C16="PAYMENT TERM NOT AVAILABLE FOR THIS PROPERTY",0,(D12-SUM(E18:E41)))</f>
        <v>5067765</v>
      </c>
      <c r="F42" s="13"/>
    </row>
    <row r="43" spans="2:7" x14ac:dyDescent="0.45">
      <c r="B43" s="250"/>
      <c r="F43" s="13"/>
    </row>
    <row r="44" spans="2:7" hidden="1" x14ac:dyDescent="0.45">
      <c r="B44" s="250"/>
      <c r="C44" s="534">
        <f t="shared" ref="C44:C45" si="3">EDATE(C43,1)</f>
        <v>31</v>
      </c>
      <c r="D44" s="535"/>
      <c r="E44" s="446"/>
      <c r="F44" s="13"/>
    </row>
    <row r="45" spans="2:7" ht="19" hidden="1" thickBot="1" x14ac:dyDescent="0.5">
      <c r="B45" s="250"/>
      <c r="C45" s="527">
        <f t="shared" si="3"/>
        <v>59</v>
      </c>
      <c r="D45" s="528"/>
      <c r="E45" s="48"/>
      <c r="F45" s="13"/>
    </row>
    <row r="46" spans="2:7" x14ac:dyDescent="0.45">
      <c r="C46" s="444"/>
      <c r="D46" s="444"/>
      <c r="E46" s="245"/>
      <c r="F46" s="13"/>
    </row>
    <row r="47" spans="2:7" ht="37.5" customHeight="1" x14ac:dyDescent="0.45">
      <c r="B47" s="513" t="s">
        <v>608</v>
      </c>
      <c r="C47" s="513"/>
      <c r="D47" s="513"/>
      <c r="E47" s="513"/>
      <c r="F47" s="513"/>
      <c r="G47" s="513"/>
    </row>
    <row r="48" spans="2:7" ht="37.5" customHeight="1" x14ac:dyDescent="0.45">
      <c r="B48" s="513" t="s">
        <v>602</v>
      </c>
      <c r="C48" s="513"/>
      <c r="D48" s="513"/>
      <c r="E48" s="513"/>
      <c r="F48" s="513"/>
      <c r="G48" s="513"/>
    </row>
    <row r="49" spans="2:7" ht="37.5" customHeight="1" x14ac:dyDescent="0.45">
      <c r="B49" s="513" t="s">
        <v>603</v>
      </c>
      <c r="C49" s="513"/>
      <c r="D49" s="513"/>
      <c r="E49" s="513"/>
      <c r="F49" s="513"/>
      <c r="G49" s="513"/>
    </row>
    <row r="50" spans="2:7" ht="18.649999999999999" customHeight="1" x14ac:dyDescent="0.45">
      <c r="B50" s="510" t="s">
        <v>940</v>
      </c>
      <c r="C50" s="510"/>
      <c r="D50" s="510"/>
      <c r="E50" s="510"/>
      <c r="F50" s="510"/>
    </row>
    <row r="51" spans="2:7" ht="18.649999999999999" customHeight="1" x14ac:dyDescent="0.45">
      <c r="B51" s="510" t="s">
        <v>933</v>
      </c>
      <c r="C51" s="510"/>
      <c r="D51" s="510"/>
      <c r="E51" s="510"/>
      <c r="F51" s="510"/>
    </row>
    <row r="52" spans="2:7" x14ac:dyDescent="0.45">
      <c r="B52" s="487" t="s">
        <v>936</v>
      </c>
      <c r="C52" s="487"/>
      <c r="D52" s="487"/>
      <c r="E52" s="487"/>
      <c r="F52" s="487"/>
    </row>
    <row r="53" spans="2:7" x14ac:dyDescent="0.45">
      <c r="B53" s="486" t="s">
        <v>935</v>
      </c>
      <c r="C53" s="484"/>
      <c r="D53" s="484"/>
      <c r="E53" s="484"/>
      <c r="F53" s="484"/>
    </row>
    <row r="54" spans="2:7" ht="18.649999999999999" customHeight="1" x14ac:dyDescent="0.45">
      <c r="B54" s="445"/>
      <c r="C54" s="445"/>
      <c r="D54" s="445"/>
      <c r="E54" s="445"/>
      <c r="F54" s="445"/>
    </row>
    <row r="55" spans="2:7" s="51" customFormat="1" x14ac:dyDescent="0.45">
      <c r="B55" s="165" t="s">
        <v>605</v>
      </c>
      <c r="C55" s="165"/>
      <c r="D55" s="165" t="s">
        <v>606</v>
      </c>
    </row>
    <row r="56" spans="2:7" s="51" customFormat="1" x14ac:dyDescent="0.45"/>
    <row r="57" spans="2:7" ht="19" thickBot="1" x14ac:dyDescent="0.5">
      <c r="B57" s="49"/>
      <c r="D57" s="514"/>
      <c r="E57" s="514"/>
    </row>
    <row r="58" spans="2:7" x14ac:dyDescent="0.45">
      <c r="D58" s="50"/>
    </row>
    <row r="59" spans="2:7" s="51" customFormat="1" x14ac:dyDescent="0.45">
      <c r="B59" s="165" t="s">
        <v>607</v>
      </c>
    </row>
    <row r="60" spans="2:7" s="51" customFormat="1" x14ac:dyDescent="0.45"/>
    <row r="61" spans="2:7" ht="19" thickBot="1" x14ac:dyDescent="0.5">
      <c r="B61" s="49"/>
    </row>
    <row r="62" spans="2:7" x14ac:dyDescent="0.45">
      <c r="B62" s="8">
        <f>Input!D6</f>
        <v>0</v>
      </c>
    </row>
  </sheetData>
  <sheetProtection algorithmName="SHA-512" hashValue="8VZW4fXyjgQRqkB1cPqrImIyo8Qf/FG1eJYelDDju+V8FsX5AFKrosotBcJauWKmKkiEjD2QFLyiuiyIF9JvGQ==" saltValue="8b3AhUvnXiy9ziZHohkZUA==" spinCount="100000" sheet="1" objects="1" scenarios="1"/>
  <mergeCells count="38">
    <mergeCell ref="C39:D39"/>
    <mergeCell ref="C30:D30"/>
    <mergeCell ref="C19:D19"/>
    <mergeCell ref="D57:E57"/>
    <mergeCell ref="C44:D44"/>
    <mergeCell ref="C45:D45"/>
    <mergeCell ref="B47:G47"/>
    <mergeCell ref="B48:G48"/>
    <mergeCell ref="B49:G49"/>
    <mergeCell ref="B50:F50"/>
    <mergeCell ref="C32:D32"/>
    <mergeCell ref="C33:D33"/>
    <mergeCell ref="C34:D34"/>
    <mergeCell ref="C35:D35"/>
    <mergeCell ref="C36:D36"/>
    <mergeCell ref="C37:D37"/>
    <mergeCell ref="C38:D38"/>
    <mergeCell ref="C25:D25"/>
    <mergeCell ref="C26:D26"/>
    <mergeCell ref="C27:D27"/>
    <mergeCell ref="C28:D28"/>
    <mergeCell ref="C29:D29"/>
    <mergeCell ref="B51:F51"/>
    <mergeCell ref="C18:D18"/>
    <mergeCell ref="C1:D1"/>
    <mergeCell ref="B3:D3"/>
    <mergeCell ref="B4:D4"/>
    <mergeCell ref="C16:E16"/>
    <mergeCell ref="C17:D17"/>
    <mergeCell ref="C40:D40"/>
    <mergeCell ref="C41:D41"/>
    <mergeCell ref="C42:D42"/>
    <mergeCell ref="C31:D31"/>
    <mergeCell ref="C20:D20"/>
    <mergeCell ref="C21:D21"/>
    <mergeCell ref="C22:D22"/>
    <mergeCell ref="C23:D23"/>
    <mergeCell ref="C24:D24"/>
  </mergeCells>
  <conditionalFormatting sqref="B62">
    <cfRule type="expression" dxfId="68" priority="3">
      <formula>$B$62=0</formula>
    </cfRule>
  </conditionalFormatting>
  <conditionalFormatting sqref="C5">
    <cfRule type="expression" dxfId="67" priority="2">
      <formula>$C$5=0</formula>
    </cfRule>
  </conditionalFormatting>
  <conditionalFormatting sqref="D5">
    <cfRule type="expression" dxfId="66" priority="1">
      <formula>$D$5=0</formula>
    </cfRule>
  </conditionalFormatting>
  <conditionalFormatting sqref="D58">
    <cfRule type="expression" dxfId="65" priority="4">
      <formula>#REF!=0</formula>
    </cfRule>
  </conditionalFormatting>
  <pageMargins left="0.7" right="0.7" top="0.75" bottom="0.75" header="0.3" footer="0.3"/>
  <pageSetup scale="5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C000"/>
    <pageSetUpPr fitToPage="1"/>
  </sheetPr>
  <dimension ref="B1:H82"/>
  <sheetViews>
    <sheetView showGridLines="0" view="pageBreakPreview" zoomScale="57" zoomScaleNormal="100" zoomScaleSheetLayoutView="75" workbookViewId="0">
      <selection activeCell="C68" sqref="C68"/>
    </sheetView>
  </sheetViews>
  <sheetFormatPr defaultColWidth="8.81640625" defaultRowHeight="18.5" x14ac:dyDescent="0.45"/>
  <cols>
    <col min="1" max="1" width="4.453125" style="8" customWidth="1"/>
    <col min="2" max="2" width="30.81640625" style="8" customWidth="1"/>
    <col min="3" max="3" width="27.81640625" style="8" customWidth="1"/>
    <col min="4" max="4" width="30.26953125" style="8" customWidth="1"/>
    <col min="5" max="7" width="8.81640625" style="8"/>
    <col min="8" max="8" width="20.81640625" style="8" customWidth="1"/>
    <col min="9" max="16384" width="8.81640625" style="8"/>
  </cols>
  <sheetData>
    <row r="1" spans="2:5" x14ac:dyDescent="0.45">
      <c r="B1" s="11" t="s">
        <v>598</v>
      </c>
      <c r="C1" s="515">
        <f>Input!D4</f>
        <v>0</v>
      </c>
      <c r="D1" s="515"/>
    </row>
    <row r="2" spans="2:5" ht="19" thickBot="1" x14ac:dyDescent="0.5"/>
    <row r="3" spans="2:5" x14ac:dyDescent="0.45">
      <c r="B3" s="516" t="str">
        <f>"Brentville International - "&amp;Input!D7</f>
        <v>Brentville International - The Arborage</v>
      </c>
      <c r="C3" s="517"/>
      <c r="D3" s="518"/>
    </row>
    <row r="4" spans="2:5" x14ac:dyDescent="0.45">
      <c r="B4" s="519" t="str">
        <f>'Summary - All Clusters'!C5</f>
        <v>B-B2-L10</v>
      </c>
      <c r="C4" s="520"/>
      <c r="D4" s="521"/>
    </row>
    <row r="5" spans="2:5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00">
        <f>C5*10.76391</f>
        <v>1808.3368799999998</v>
      </c>
    </row>
    <row r="6" spans="2:5" s="11" customFormat="1" x14ac:dyDescent="0.45">
      <c r="B6" s="32" t="s">
        <v>583</v>
      </c>
      <c r="C6" s="40"/>
      <c r="D6" s="36">
        <f>Input!D12</f>
        <v>5641104</v>
      </c>
    </row>
    <row r="7" spans="2:5" s="11" customFormat="1" hidden="1" x14ac:dyDescent="0.45">
      <c r="B7" s="424" t="s">
        <v>899</v>
      </c>
      <c r="C7" s="425"/>
      <c r="D7" s="426"/>
      <c r="E7" s="423"/>
    </row>
    <row r="8" spans="2:5" s="11" customFormat="1" hidden="1" x14ac:dyDescent="0.45">
      <c r="B8" s="32" t="s">
        <v>782</v>
      </c>
      <c r="C8" s="40"/>
      <c r="D8" s="36"/>
    </row>
    <row r="9" spans="2:5" x14ac:dyDescent="0.45">
      <c r="B9" s="131" t="str">
        <f>'Summary - All Clusters'!C39</f>
        <v>Add VAT:</v>
      </c>
      <c r="C9" s="38"/>
      <c r="D9" s="34">
        <f>D6*12%</f>
        <v>676932.48</v>
      </c>
    </row>
    <row r="10" spans="2:5" x14ac:dyDescent="0.45">
      <c r="B10" s="131" t="str">
        <f>'Summary - All Clusters'!C40</f>
        <v>Add Other Charges:</v>
      </c>
      <c r="C10" s="38"/>
      <c r="D10" s="34">
        <f>D6*4%</f>
        <v>225644.16</v>
      </c>
    </row>
    <row r="11" spans="2:5" x14ac:dyDescent="0.45">
      <c r="B11" s="131" t="s">
        <v>671</v>
      </c>
      <c r="C11" s="38"/>
      <c r="D11" s="34">
        <f>Input!D13</f>
        <v>0</v>
      </c>
    </row>
    <row r="12" spans="2:5" x14ac:dyDescent="0.45">
      <c r="B12" s="424" t="s">
        <v>672</v>
      </c>
      <c r="C12" s="428"/>
      <c r="D12" s="429">
        <f>D11*50%</f>
        <v>0</v>
      </c>
    </row>
    <row r="13" spans="2:5" x14ac:dyDescent="0.45">
      <c r="B13" s="424" t="s">
        <v>932</v>
      </c>
      <c r="C13" s="428"/>
      <c r="D13" s="429">
        <v>25000</v>
      </c>
    </row>
    <row r="14" spans="2:5" s="11" customFormat="1" ht="19" thickBot="1" x14ac:dyDescent="0.5">
      <c r="B14" s="33" t="str">
        <f>'Summary - All Clusters'!C44</f>
        <v>Total Contract Price:</v>
      </c>
      <c r="C14" s="41"/>
      <c r="D14" s="81">
        <f>ROUND(D6+D9+D10+D11-D12-D13,-2)</f>
        <v>6518700</v>
      </c>
    </row>
    <row r="15" spans="2:5" s="11" customFormat="1" ht="19" hidden="1" thickBot="1" x14ac:dyDescent="0.5">
      <c r="B15" s="33" t="s">
        <v>610</v>
      </c>
      <c r="C15" s="41"/>
      <c r="D15" s="37">
        <f>(D14-D21-D22)*Input!D14*0</f>
        <v>0</v>
      </c>
    </row>
    <row r="16" spans="2:5" x14ac:dyDescent="0.45">
      <c r="B16" s="42" t="str">
        <f>'Summary - All Clusters'!B8</f>
        <v>Computation generated on:</v>
      </c>
      <c r="C16" s="10">
        <f ca="1">'Summary - All Clusters'!C8</f>
        <v>44061</v>
      </c>
    </row>
    <row r="17" spans="2:7" x14ac:dyDescent="0.45">
      <c r="B17" s="43" t="s">
        <v>599</v>
      </c>
    </row>
    <row r="18" spans="2:7" ht="19" thickBot="1" x14ac:dyDescent="0.5"/>
    <row r="19" spans="2:7" x14ac:dyDescent="0.45">
      <c r="C19" s="522" t="s">
        <v>924</v>
      </c>
      <c r="D19" s="524"/>
    </row>
    <row r="20" spans="2:7" x14ac:dyDescent="0.45">
      <c r="C20" s="469" t="s">
        <v>600</v>
      </c>
      <c r="D20" s="46" t="s">
        <v>601</v>
      </c>
    </row>
    <row r="21" spans="2:7" x14ac:dyDescent="0.45">
      <c r="C21" s="471">
        <f ca="1">TODAY()</f>
        <v>44061</v>
      </c>
      <c r="D21" s="47">
        <v>25000</v>
      </c>
      <c r="E21" s="474" t="s">
        <v>609</v>
      </c>
      <c r="F21" s="475"/>
      <c r="G21" s="475"/>
    </row>
    <row r="22" spans="2:7" x14ac:dyDescent="0.45">
      <c r="C22" s="471">
        <f ca="1">EDATE(C21,1)</f>
        <v>44092</v>
      </c>
      <c r="D22" s="47">
        <f>(D14*30%)-D21</f>
        <v>1930610</v>
      </c>
      <c r="E22" s="474"/>
      <c r="F22" s="475"/>
      <c r="G22" s="475"/>
    </row>
    <row r="23" spans="2:7" x14ac:dyDescent="0.45">
      <c r="C23" s="471">
        <f t="shared" ref="C23:C58" ca="1" si="0">EDATE(C22,1)</f>
        <v>44122</v>
      </c>
      <c r="D23" s="303">
        <f>(D14*70%)/36</f>
        <v>126752.5</v>
      </c>
    </row>
    <row r="24" spans="2:7" x14ac:dyDescent="0.45">
      <c r="C24" s="471">
        <f t="shared" ca="1" si="0"/>
        <v>44153</v>
      </c>
      <c r="D24" s="303">
        <f>D23</f>
        <v>126752.5</v>
      </c>
    </row>
    <row r="25" spans="2:7" x14ac:dyDescent="0.45">
      <c r="C25" s="471">
        <f t="shared" ca="1" si="0"/>
        <v>44183</v>
      </c>
      <c r="D25" s="303">
        <f t="shared" ref="D25:D58" si="1">D24</f>
        <v>126752.5</v>
      </c>
    </row>
    <row r="26" spans="2:7" x14ac:dyDescent="0.45">
      <c r="C26" s="471">
        <f t="shared" ca="1" si="0"/>
        <v>44214</v>
      </c>
      <c r="D26" s="303">
        <f t="shared" si="1"/>
        <v>126752.5</v>
      </c>
    </row>
    <row r="27" spans="2:7" x14ac:dyDescent="0.45">
      <c r="C27" s="471">
        <f t="shared" ca="1" si="0"/>
        <v>44245</v>
      </c>
      <c r="D27" s="303">
        <f t="shared" si="1"/>
        <v>126752.5</v>
      </c>
    </row>
    <row r="28" spans="2:7" x14ac:dyDescent="0.45">
      <c r="C28" s="471">
        <f t="shared" ca="1" si="0"/>
        <v>44273</v>
      </c>
      <c r="D28" s="303">
        <f t="shared" si="1"/>
        <v>126752.5</v>
      </c>
    </row>
    <row r="29" spans="2:7" x14ac:dyDescent="0.45">
      <c r="C29" s="471">
        <f t="shared" ca="1" si="0"/>
        <v>44304</v>
      </c>
      <c r="D29" s="303">
        <f t="shared" si="1"/>
        <v>126752.5</v>
      </c>
    </row>
    <row r="30" spans="2:7" x14ac:dyDescent="0.45">
      <c r="C30" s="471">
        <f t="shared" ca="1" si="0"/>
        <v>44334</v>
      </c>
      <c r="D30" s="303">
        <f t="shared" si="1"/>
        <v>126752.5</v>
      </c>
    </row>
    <row r="31" spans="2:7" x14ac:dyDescent="0.45">
      <c r="C31" s="471">
        <f t="shared" ca="1" si="0"/>
        <v>44365</v>
      </c>
      <c r="D31" s="303">
        <f t="shared" si="1"/>
        <v>126752.5</v>
      </c>
    </row>
    <row r="32" spans="2:7" x14ac:dyDescent="0.45">
      <c r="C32" s="471">
        <f t="shared" ca="1" si="0"/>
        <v>44395</v>
      </c>
      <c r="D32" s="303">
        <f t="shared" si="1"/>
        <v>126752.5</v>
      </c>
    </row>
    <row r="33" spans="3:4" x14ac:dyDescent="0.45">
      <c r="C33" s="471">
        <f t="shared" ca="1" si="0"/>
        <v>44426</v>
      </c>
      <c r="D33" s="303">
        <f t="shared" si="1"/>
        <v>126752.5</v>
      </c>
    </row>
    <row r="34" spans="3:4" x14ac:dyDescent="0.45">
      <c r="C34" s="471">
        <f t="shared" ca="1" si="0"/>
        <v>44457</v>
      </c>
      <c r="D34" s="303">
        <f t="shared" si="1"/>
        <v>126752.5</v>
      </c>
    </row>
    <row r="35" spans="3:4" x14ac:dyDescent="0.45">
      <c r="C35" s="471">
        <f t="shared" ca="1" si="0"/>
        <v>44487</v>
      </c>
      <c r="D35" s="303">
        <f t="shared" si="1"/>
        <v>126752.5</v>
      </c>
    </row>
    <row r="36" spans="3:4" x14ac:dyDescent="0.45">
      <c r="C36" s="471">
        <f t="shared" ca="1" si="0"/>
        <v>44518</v>
      </c>
      <c r="D36" s="303">
        <f t="shared" si="1"/>
        <v>126752.5</v>
      </c>
    </row>
    <row r="37" spans="3:4" x14ac:dyDescent="0.45">
      <c r="C37" s="471">
        <f t="shared" ca="1" si="0"/>
        <v>44548</v>
      </c>
      <c r="D37" s="303">
        <f t="shared" si="1"/>
        <v>126752.5</v>
      </c>
    </row>
    <row r="38" spans="3:4" x14ac:dyDescent="0.45">
      <c r="C38" s="471">
        <f t="shared" ca="1" si="0"/>
        <v>44579</v>
      </c>
      <c r="D38" s="303">
        <f t="shared" si="1"/>
        <v>126752.5</v>
      </c>
    </row>
    <row r="39" spans="3:4" x14ac:dyDescent="0.45">
      <c r="C39" s="471">
        <f t="shared" ca="1" si="0"/>
        <v>44610</v>
      </c>
      <c r="D39" s="303">
        <f t="shared" si="1"/>
        <v>126752.5</v>
      </c>
    </row>
    <row r="40" spans="3:4" x14ac:dyDescent="0.45">
      <c r="C40" s="471">
        <f t="shared" ca="1" si="0"/>
        <v>44638</v>
      </c>
      <c r="D40" s="303">
        <f t="shared" si="1"/>
        <v>126752.5</v>
      </c>
    </row>
    <row r="41" spans="3:4" x14ac:dyDescent="0.45">
      <c r="C41" s="471">
        <f t="shared" ca="1" si="0"/>
        <v>44669</v>
      </c>
      <c r="D41" s="303">
        <f t="shared" si="1"/>
        <v>126752.5</v>
      </c>
    </row>
    <row r="42" spans="3:4" x14ac:dyDescent="0.45">
      <c r="C42" s="471">
        <f t="shared" ca="1" si="0"/>
        <v>44699</v>
      </c>
      <c r="D42" s="303">
        <f t="shared" si="1"/>
        <v>126752.5</v>
      </c>
    </row>
    <row r="43" spans="3:4" x14ac:dyDescent="0.45">
      <c r="C43" s="471">
        <f t="shared" ca="1" si="0"/>
        <v>44730</v>
      </c>
      <c r="D43" s="303">
        <f t="shared" si="1"/>
        <v>126752.5</v>
      </c>
    </row>
    <row r="44" spans="3:4" x14ac:dyDescent="0.45">
      <c r="C44" s="471">
        <f t="shared" ca="1" si="0"/>
        <v>44760</v>
      </c>
      <c r="D44" s="303">
        <f t="shared" si="1"/>
        <v>126752.5</v>
      </c>
    </row>
    <row r="45" spans="3:4" x14ac:dyDescent="0.45">
      <c r="C45" s="471">
        <f t="shared" ca="1" si="0"/>
        <v>44791</v>
      </c>
      <c r="D45" s="303">
        <f t="shared" si="1"/>
        <v>126752.5</v>
      </c>
    </row>
    <row r="46" spans="3:4" x14ac:dyDescent="0.45">
      <c r="C46" s="471">
        <f t="shared" ca="1" si="0"/>
        <v>44822</v>
      </c>
      <c r="D46" s="303">
        <f t="shared" si="1"/>
        <v>126752.5</v>
      </c>
    </row>
    <row r="47" spans="3:4" x14ac:dyDescent="0.45">
      <c r="C47" s="471">
        <f t="shared" ca="1" si="0"/>
        <v>44852</v>
      </c>
      <c r="D47" s="303">
        <f t="shared" si="1"/>
        <v>126752.5</v>
      </c>
    </row>
    <row r="48" spans="3:4" x14ac:dyDescent="0.45">
      <c r="C48" s="471">
        <f t="shared" ca="1" si="0"/>
        <v>44883</v>
      </c>
      <c r="D48" s="303">
        <f t="shared" si="1"/>
        <v>126752.5</v>
      </c>
    </row>
    <row r="49" spans="2:8" x14ac:dyDescent="0.45">
      <c r="C49" s="471">
        <f t="shared" ca="1" si="0"/>
        <v>44913</v>
      </c>
      <c r="D49" s="303">
        <f t="shared" si="1"/>
        <v>126752.5</v>
      </c>
    </row>
    <row r="50" spans="2:8" x14ac:dyDescent="0.45">
      <c r="C50" s="471">
        <f t="shared" ca="1" si="0"/>
        <v>44944</v>
      </c>
      <c r="D50" s="303">
        <f t="shared" si="1"/>
        <v>126752.5</v>
      </c>
    </row>
    <row r="51" spans="2:8" x14ac:dyDescent="0.45">
      <c r="C51" s="471">
        <f t="shared" ca="1" si="0"/>
        <v>44975</v>
      </c>
      <c r="D51" s="303">
        <f t="shared" si="1"/>
        <v>126752.5</v>
      </c>
    </row>
    <row r="52" spans="2:8" x14ac:dyDescent="0.45">
      <c r="C52" s="471">
        <f t="shared" ca="1" si="0"/>
        <v>45003</v>
      </c>
      <c r="D52" s="303">
        <f t="shared" si="1"/>
        <v>126752.5</v>
      </c>
    </row>
    <row r="53" spans="2:8" x14ac:dyDescent="0.45">
      <c r="C53" s="471">
        <f t="shared" ca="1" si="0"/>
        <v>45034</v>
      </c>
      <c r="D53" s="303">
        <f t="shared" si="1"/>
        <v>126752.5</v>
      </c>
    </row>
    <row r="54" spans="2:8" x14ac:dyDescent="0.45">
      <c r="C54" s="471">
        <f t="shared" ca="1" si="0"/>
        <v>45064</v>
      </c>
      <c r="D54" s="303">
        <f t="shared" si="1"/>
        <v>126752.5</v>
      </c>
    </row>
    <row r="55" spans="2:8" x14ac:dyDescent="0.45">
      <c r="C55" s="471">
        <f t="shared" ca="1" si="0"/>
        <v>45095</v>
      </c>
      <c r="D55" s="303">
        <f t="shared" si="1"/>
        <v>126752.5</v>
      </c>
    </row>
    <row r="56" spans="2:8" x14ac:dyDescent="0.45">
      <c r="C56" s="471">
        <f t="shared" ca="1" si="0"/>
        <v>45125</v>
      </c>
      <c r="D56" s="303">
        <f t="shared" si="1"/>
        <v>126752.5</v>
      </c>
    </row>
    <row r="57" spans="2:8" x14ac:dyDescent="0.45">
      <c r="C57" s="471">
        <f t="shared" ca="1" si="0"/>
        <v>45156</v>
      </c>
      <c r="D57" s="303">
        <f t="shared" si="1"/>
        <v>126752.5</v>
      </c>
    </row>
    <row r="58" spans="2:8" ht="19" thickBot="1" x14ac:dyDescent="0.5">
      <c r="C58" s="470">
        <f t="shared" ca="1" si="0"/>
        <v>45187</v>
      </c>
      <c r="D58" s="305">
        <f t="shared" si="1"/>
        <v>126752.5</v>
      </c>
    </row>
    <row r="60" spans="2:8" x14ac:dyDescent="0.45">
      <c r="C60" s="7" t="s">
        <v>614</v>
      </c>
    </row>
    <row r="61" spans="2:8" x14ac:dyDescent="0.45">
      <c r="C61" s="7"/>
    </row>
    <row r="62" spans="2:8" ht="37.5" customHeight="1" x14ac:dyDescent="0.45">
      <c r="B62" s="537" t="s">
        <v>608</v>
      </c>
      <c r="C62" s="537"/>
      <c r="D62" s="537"/>
      <c r="E62" s="537"/>
      <c r="F62" s="537"/>
      <c r="G62" s="537"/>
      <c r="H62" s="537"/>
    </row>
    <row r="63" spans="2:8" x14ac:dyDescent="0.45">
      <c r="B63" s="537" t="s">
        <v>602</v>
      </c>
      <c r="C63" s="537"/>
      <c r="D63" s="537"/>
      <c r="E63" s="537"/>
      <c r="F63" s="537"/>
      <c r="G63" s="537"/>
      <c r="H63" s="537"/>
    </row>
    <row r="64" spans="2:8" ht="36.65" customHeight="1" x14ac:dyDescent="0.45">
      <c r="B64" s="537" t="s">
        <v>603</v>
      </c>
      <c r="C64" s="537"/>
      <c r="D64" s="537"/>
      <c r="E64" s="537"/>
      <c r="F64" s="537"/>
      <c r="G64" s="537"/>
      <c r="H64" s="537"/>
    </row>
    <row r="65" spans="2:8" ht="18.75" customHeight="1" x14ac:dyDescent="0.45">
      <c r="B65" s="537" t="s">
        <v>604</v>
      </c>
      <c r="C65" s="537"/>
      <c r="D65" s="537"/>
      <c r="E65" s="537"/>
      <c r="F65" s="187"/>
      <c r="G65" s="187"/>
      <c r="H65" s="187"/>
    </row>
    <row r="66" spans="2:8" ht="18.649999999999999" customHeight="1" x14ac:dyDescent="0.45">
      <c r="B66" s="536" t="s">
        <v>940</v>
      </c>
      <c r="C66" s="536"/>
      <c r="D66" s="536"/>
      <c r="E66" s="536"/>
      <c r="F66" s="478"/>
      <c r="G66" s="187"/>
      <c r="H66" s="187"/>
    </row>
    <row r="67" spans="2:8" ht="18.649999999999999" customHeight="1" x14ac:dyDescent="0.45">
      <c r="B67" s="510" t="s">
        <v>933</v>
      </c>
      <c r="C67" s="510"/>
      <c r="D67" s="510"/>
      <c r="E67" s="510"/>
      <c r="F67" s="510"/>
      <c r="G67" s="510"/>
      <c r="H67" s="510"/>
    </row>
    <row r="68" spans="2:8" x14ac:dyDescent="0.45">
      <c r="B68" s="487" t="s">
        <v>936</v>
      </c>
      <c r="C68" s="487"/>
      <c r="D68" s="487"/>
      <c r="E68" s="487"/>
      <c r="F68" s="487"/>
    </row>
    <row r="69" spans="2:8" x14ac:dyDescent="0.45">
      <c r="B69" s="486" t="s">
        <v>934</v>
      </c>
      <c r="C69" s="484"/>
      <c r="D69" s="484"/>
      <c r="E69" s="484"/>
      <c r="F69" s="484"/>
    </row>
    <row r="70" spans="2:8" x14ac:dyDescent="0.45">
      <c r="B70" s="187"/>
      <c r="C70" s="187"/>
      <c r="D70" s="187"/>
      <c r="E70" s="187"/>
    </row>
    <row r="71" spans="2:8" x14ac:dyDescent="0.45">
      <c r="B71" s="187"/>
      <c r="C71" s="187"/>
      <c r="D71" s="187"/>
      <c r="E71" s="187"/>
    </row>
    <row r="72" spans="2:8" s="51" customFormat="1" x14ac:dyDescent="0.45">
      <c r="B72" s="192" t="s">
        <v>605</v>
      </c>
      <c r="C72" s="188"/>
      <c r="D72" s="188" t="s">
        <v>606</v>
      </c>
      <c r="E72" s="189"/>
    </row>
    <row r="73" spans="2:8" s="51" customFormat="1" x14ac:dyDescent="0.45">
      <c r="B73" s="193"/>
      <c r="C73" s="189"/>
      <c r="D73" s="189"/>
      <c r="E73" s="189"/>
    </row>
    <row r="74" spans="2:8" s="51" customFormat="1" x14ac:dyDescent="0.45">
      <c r="B74" s="193"/>
      <c r="C74" s="189"/>
      <c r="D74" s="189"/>
      <c r="E74" s="189"/>
    </row>
    <row r="75" spans="2:8" ht="19" thickBot="1" x14ac:dyDescent="0.5">
      <c r="B75" s="194"/>
      <c r="C75" s="187"/>
      <c r="D75" s="295"/>
      <c r="E75" s="295"/>
    </row>
    <row r="76" spans="2:8" x14ac:dyDescent="0.45">
      <c r="B76" s="84">
        <f>Input!D4</f>
        <v>0</v>
      </c>
      <c r="C76" s="187"/>
      <c r="D76" s="191">
        <f>Input!D5</f>
        <v>0</v>
      </c>
      <c r="E76" s="187"/>
    </row>
    <row r="77" spans="2:8" x14ac:dyDescent="0.45">
      <c r="B77" s="84"/>
      <c r="C77" s="187"/>
      <c r="D77" s="191"/>
      <c r="E77" s="187"/>
    </row>
    <row r="78" spans="2:8" s="51" customFormat="1" x14ac:dyDescent="0.45">
      <c r="B78" s="192" t="s">
        <v>607</v>
      </c>
      <c r="C78" s="189"/>
      <c r="D78" s="189"/>
      <c r="E78" s="189"/>
    </row>
    <row r="79" spans="2:8" s="51" customFormat="1" x14ac:dyDescent="0.45">
      <c r="B79" s="193"/>
      <c r="C79" s="189"/>
      <c r="D79" s="189"/>
      <c r="E79" s="189"/>
    </row>
    <row r="80" spans="2:8" s="51" customFormat="1" x14ac:dyDescent="0.45">
      <c r="B80" s="189"/>
      <c r="C80" s="189"/>
      <c r="D80" s="189"/>
      <c r="E80" s="189"/>
    </row>
    <row r="81" spans="2:5" ht="19" thickBot="1" x14ac:dyDescent="0.5">
      <c r="B81" s="190"/>
      <c r="C81" s="187"/>
      <c r="D81" s="187"/>
      <c r="E81" s="187"/>
    </row>
    <row r="82" spans="2:5" x14ac:dyDescent="0.45">
      <c r="B82" s="187">
        <f>Input!D6</f>
        <v>0</v>
      </c>
      <c r="C82" s="187"/>
      <c r="D82" s="187"/>
      <c r="E82" s="187"/>
    </row>
  </sheetData>
  <sheetProtection algorithmName="SHA-512" hashValue="lhF8+YNIiixUElQ/aoWnOxkMyJoUz4v0OP45Or2Z0ZhBGuKHlVLq/kL50tt+12K4tm1X/JtkzEGRPlBTtErrRQ==" saltValue="LQ236KkPD2nt/0hVobscPw==" spinCount="100000" sheet="1" objects="1" scenarios="1"/>
  <mergeCells count="10">
    <mergeCell ref="B66:E66"/>
    <mergeCell ref="C1:D1"/>
    <mergeCell ref="B3:D3"/>
    <mergeCell ref="B4:D4"/>
    <mergeCell ref="C19:D19"/>
    <mergeCell ref="B62:H62"/>
    <mergeCell ref="B63:H63"/>
    <mergeCell ref="B64:H64"/>
    <mergeCell ref="B65:E65"/>
    <mergeCell ref="B67:H67"/>
  </mergeCells>
  <conditionalFormatting sqref="D76">
    <cfRule type="expression" dxfId="64" priority="7">
      <formula>$D$76=0</formula>
    </cfRule>
  </conditionalFormatting>
  <conditionalFormatting sqref="B76">
    <cfRule type="expression" dxfId="63" priority="6">
      <formula>$B$76=0</formula>
    </cfRule>
  </conditionalFormatting>
  <conditionalFormatting sqref="B82">
    <cfRule type="expression" dxfId="62" priority="5">
      <formula>$B$82=0</formula>
    </cfRule>
  </conditionalFormatting>
  <conditionalFormatting sqref="C5">
    <cfRule type="expression" dxfId="61" priority="4">
      <formula>$C$5=0</formula>
    </cfRule>
  </conditionalFormatting>
  <conditionalFormatting sqref="D5">
    <cfRule type="expression" dxfId="60" priority="3">
      <formula>$D$5=0</formula>
    </cfRule>
  </conditionalFormatting>
  <conditionalFormatting sqref="D7">
    <cfRule type="expression" dxfId="59" priority="1">
      <formula>$D$7=0</formula>
    </cfRule>
  </conditionalFormatting>
  <pageMargins left="0.7" right="0.7" top="0.75" bottom="0.75" header="0.3" footer="0.3"/>
  <pageSetup scale="4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1" tint="0.249977111117893"/>
  </sheetPr>
  <dimension ref="A1:DD28"/>
  <sheetViews>
    <sheetView zoomScale="87" zoomScaleNormal="87" workbookViewId="0">
      <pane ySplit="1" topLeftCell="A2" activePane="bottomLeft" state="frozen"/>
      <selection activeCell="D35" sqref="D35"/>
      <selection pane="bottomLeft" activeCell="D35" sqref="D35"/>
    </sheetView>
  </sheetViews>
  <sheetFormatPr defaultColWidth="8.81640625" defaultRowHeight="13" x14ac:dyDescent="0.3"/>
  <cols>
    <col min="1" max="1" width="8.81640625" style="172"/>
    <col min="2" max="4" width="0" style="172" hidden="1" customWidth="1"/>
    <col min="5" max="5" width="13" style="172" customWidth="1"/>
    <col min="6" max="6" width="0" style="172" hidden="1" customWidth="1"/>
    <col min="7" max="8" width="8.81640625" style="172"/>
    <col min="9" max="18" width="0" style="172" hidden="1" customWidth="1"/>
    <col min="19" max="19" width="11.81640625" style="172" customWidth="1"/>
    <col min="20" max="21" width="0" style="172" hidden="1" customWidth="1"/>
    <col min="22" max="22" width="8.81640625" style="172"/>
    <col min="23" max="30" width="0" style="172" hidden="1" customWidth="1"/>
    <col min="31" max="31" width="17" style="172" bestFit="1" customWidth="1"/>
    <col min="32" max="47" width="8.81640625" style="172" hidden="1" customWidth="1"/>
    <col min="48" max="48" width="8.81640625" style="172" customWidth="1"/>
    <col min="49" max="100" width="8.81640625" style="172" hidden="1" customWidth="1"/>
    <col min="101" max="101" width="10.453125" style="172" hidden="1" customWidth="1"/>
    <col min="102" max="105" width="8.81640625" style="172" hidden="1" customWidth="1"/>
    <col min="106" max="16384" width="8.81640625" style="172"/>
  </cols>
  <sheetData>
    <row r="1" spans="1:108" x14ac:dyDescent="0.3">
      <c r="A1" s="273"/>
      <c r="B1" s="273" t="s">
        <v>4</v>
      </c>
      <c r="C1" s="273" t="s">
        <v>5</v>
      </c>
      <c r="D1" s="273" t="s">
        <v>6</v>
      </c>
      <c r="E1" s="273" t="s">
        <v>7</v>
      </c>
      <c r="F1" s="273" t="s">
        <v>8</v>
      </c>
      <c r="G1" s="273" t="s">
        <v>9</v>
      </c>
      <c r="H1" s="273" t="s">
        <v>10</v>
      </c>
      <c r="I1" s="172" t="s">
        <v>11</v>
      </c>
      <c r="J1" s="172" t="s">
        <v>12</v>
      </c>
      <c r="K1" s="172" t="s">
        <v>13</v>
      </c>
      <c r="L1" s="172" t="s">
        <v>14</v>
      </c>
      <c r="M1" s="172" t="s">
        <v>15</v>
      </c>
      <c r="N1" s="172" t="s">
        <v>16</v>
      </c>
      <c r="O1" s="172" t="s">
        <v>17</v>
      </c>
      <c r="P1" s="172" t="s">
        <v>18</v>
      </c>
      <c r="Q1" s="172" t="s">
        <v>19</v>
      </c>
      <c r="R1" s="172" t="s">
        <v>20</v>
      </c>
      <c r="S1" s="274" t="s">
        <v>741</v>
      </c>
      <c r="T1" s="275"/>
      <c r="U1" s="275"/>
      <c r="V1" s="273" t="s">
        <v>22</v>
      </c>
      <c r="W1" s="172" t="s">
        <v>23</v>
      </c>
      <c r="X1" s="172" t="s">
        <v>24</v>
      </c>
      <c r="Y1" s="172" t="s">
        <v>25</v>
      </c>
      <c r="Z1" s="172" t="s">
        <v>26</v>
      </c>
      <c r="AA1" s="172" t="s">
        <v>27</v>
      </c>
      <c r="AB1" s="172" t="s">
        <v>28</v>
      </c>
      <c r="AC1" s="172" t="s">
        <v>29</v>
      </c>
      <c r="AD1" s="172" t="s">
        <v>30</v>
      </c>
      <c r="AE1" s="276" t="s">
        <v>31</v>
      </c>
      <c r="AF1" s="172" t="s">
        <v>32</v>
      </c>
      <c r="AG1" s="172" t="s">
        <v>33</v>
      </c>
      <c r="AH1" s="172" t="s">
        <v>34</v>
      </c>
      <c r="AI1" s="172" t="s">
        <v>35</v>
      </c>
      <c r="AJ1" s="172" t="s">
        <v>36</v>
      </c>
      <c r="AK1" s="172" t="s">
        <v>37</v>
      </c>
      <c r="AL1" s="172" t="s">
        <v>38</v>
      </c>
      <c r="AM1" s="172" t="s">
        <v>39</v>
      </c>
      <c r="AN1" s="172" t="s">
        <v>40</v>
      </c>
      <c r="AO1" s="172" t="s">
        <v>41</v>
      </c>
      <c r="AP1" s="172" t="s">
        <v>42</v>
      </c>
      <c r="AQ1" s="172" t="s">
        <v>43</v>
      </c>
      <c r="AR1" s="172" t="s">
        <v>44</v>
      </c>
      <c r="AS1" s="172" t="s">
        <v>45</v>
      </c>
      <c r="AT1" s="172" t="s">
        <v>46</v>
      </c>
      <c r="AU1" s="172" t="s">
        <v>47</v>
      </c>
      <c r="AV1" s="277" t="s">
        <v>48</v>
      </c>
      <c r="AW1" s="172" t="s">
        <v>49</v>
      </c>
      <c r="AX1" s="172" t="s">
        <v>21</v>
      </c>
      <c r="AY1" s="172" t="s">
        <v>50</v>
      </c>
      <c r="AZ1" s="172" t="s">
        <v>51</v>
      </c>
      <c r="BA1" s="172" t="s">
        <v>52</v>
      </c>
      <c r="BB1" s="172" t="s">
        <v>53</v>
      </c>
      <c r="BC1" s="172" t="s">
        <v>54</v>
      </c>
      <c r="BD1" s="172" t="s">
        <v>55</v>
      </c>
      <c r="BE1" s="172" t="s">
        <v>56</v>
      </c>
      <c r="BF1" s="172" t="s">
        <v>57</v>
      </c>
      <c r="BG1" s="172" t="s">
        <v>58</v>
      </c>
      <c r="BH1" s="172" t="s">
        <v>59</v>
      </c>
      <c r="BI1" s="172" t="s">
        <v>60</v>
      </c>
      <c r="BJ1" s="172" t="s">
        <v>61</v>
      </c>
      <c r="BK1" s="172" t="s">
        <v>62</v>
      </c>
      <c r="BL1" s="172" t="s">
        <v>63</v>
      </c>
      <c r="BM1" s="172" t="s">
        <v>64</v>
      </c>
      <c r="BN1" s="172" t="s">
        <v>65</v>
      </c>
      <c r="BO1" s="172" t="s">
        <v>66</v>
      </c>
      <c r="BP1" s="172" t="s">
        <v>67</v>
      </c>
      <c r="BQ1" s="172" t="s">
        <v>68</v>
      </c>
      <c r="BR1" s="172" t="s">
        <v>69</v>
      </c>
      <c r="BS1" s="172" t="s">
        <v>70</v>
      </c>
      <c r="BT1" s="172" t="s">
        <v>71</v>
      </c>
      <c r="BU1" s="172" t="s">
        <v>72</v>
      </c>
      <c r="BV1" s="172" t="s">
        <v>73</v>
      </c>
      <c r="BW1" s="172" t="s">
        <v>74</v>
      </c>
      <c r="BX1" s="172" t="s">
        <v>75</v>
      </c>
      <c r="BY1" s="172" t="s">
        <v>76</v>
      </c>
      <c r="BZ1" s="172" t="s">
        <v>77</v>
      </c>
      <c r="CA1" s="172" t="s">
        <v>78</v>
      </c>
      <c r="CB1" s="172" t="s">
        <v>79</v>
      </c>
      <c r="CC1" s="172" t="s">
        <v>80</v>
      </c>
      <c r="CD1" s="172" t="s">
        <v>81</v>
      </c>
      <c r="CE1" s="172" t="s">
        <v>82</v>
      </c>
      <c r="CF1" s="172" t="s">
        <v>83</v>
      </c>
      <c r="CG1" s="172" t="s">
        <v>84</v>
      </c>
      <c r="CH1" s="172" t="s">
        <v>85</v>
      </c>
      <c r="CI1" s="172" t="s">
        <v>86</v>
      </c>
      <c r="CJ1" s="172" t="s">
        <v>87</v>
      </c>
      <c r="CK1" s="172" t="s">
        <v>88</v>
      </c>
      <c r="CL1" s="172" t="s">
        <v>89</v>
      </c>
      <c r="CM1" s="172" t="s">
        <v>90</v>
      </c>
      <c r="CN1" s="172" t="s">
        <v>91</v>
      </c>
      <c r="CO1" s="172" t="s">
        <v>92</v>
      </c>
      <c r="CP1" s="172" t="s">
        <v>93</v>
      </c>
      <c r="CQ1" s="172" t="s">
        <v>94</v>
      </c>
      <c r="CR1" s="172" t="s">
        <v>95</v>
      </c>
      <c r="CS1" s="172" t="s">
        <v>96</v>
      </c>
      <c r="CT1" s="172" t="s">
        <v>97</v>
      </c>
      <c r="CU1" s="172" t="s">
        <v>98</v>
      </c>
      <c r="CV1" s="172" t="s">
        <v>99</v>
      </c>
    </row>
    <row r="2" spans="1:108" x14ac:dyDescent="0.3">
      <c r="A2" s="273" t="str">
        <f>DB2</f>
        <v>B10-L10</v>
      </c>
      <c r="B2" s="273" t="s">
        <v>100</v>
      </c>
      <c r="C2" s="273" t="s">
        <v>101</v>
      </c>
      <c r="D2" s="273" t="s">
        <v>469</v>
      </c>
      <c r="E2" s="273" t="s">
        <v>470</v>
      </c>
      <c r="F2" s="273" t="s">
        <v>471</v>
      </c>
      <c r="G2" s="273" t="s">
        <v>471</v>
      </c>
      <c r="H2" s="273" t="s">
        <v>427</v>
      </c>
      <c r="I2" s="172">
        <v>116</v>
      </c>
      <c r="J2" s="172" t="s">
        <v>472</v>
      </c>
      <c r="K2" s="172" t="s">
        <v>107</v>
      </c>
      <c r="L2" s="172" t="s">
        <v>108</v>
      </c>
      <c r="M2" s="172">
        <v>11</v>
      </c>
      <c r="N2" s="172" t="s">
        <v>109</v>
      </c>
      <c r="O2" s="172">
        <v>2</v>
      </c>
      <c r="P2" s="172" t="s">
        <v>110</v>
      </c>
      <c r="R2" s="172" t="s">
        <v>473</v>
      </c>
      <c r="S2" s="274">
        <v>429</v>
      </c>
      <c r="T2" s="275">
        <v>0</v>
      </c>
      <c r="U2" s="275"/>
      <c r="V2" s="273" t="s">
        <v>113</v>
      </c>
      <c r="W2" s="172" t="s">
        <v>114</v>
      </c>
      <c r="X2" s="172" t="s">
        <v>115</v>
      </c>
      <c r="AE2" s="276">
        <v>13384800</v>
      </c>
      <c r="AF2" s="172" t="s">
        <v>116</v>
      </c>
      <c r="AM2" s="172" t="s">
        <v>117</v>
      </c>
      <c r="AN2" s="172" t="s">
        <v>109</v>
      </c>
      <c r="AO2" s="172" t="s">
        <v>118</v>
      </c>
      <c r="AP2" s="172" t="s">
        <v>119</v>
      </c>
      <c r="AQ2" s="172">
        <v>4</v>
      </c>
      <c r="AR2" s="172" t="s">
        <v>120</v>
      </c>
      <c r="AS2" s="172" t="s">
        <v>201</v>
      </c>
      <c r="AV2" s="277"/>
      <c r="AX2" s="172" t="s">
        <v>122</v>
      </c>
      <c r="AY2" s="172" t="s">
        <v>123</v>
      </c>
      <c r="BJ2" s="172" t="s">
        <v>124</v>
      </c>
      <c r="BK2" s="172" t="s">
        <v>125</v>
      </c>
      <c r="BT2" s="172" t="s">
        <v>126</v>
      </c>
      <c r="BU2" s="172" t="s">
        <v>126</v>
      </c>
      <c r="BV2" s="172" t="s">
        <v>474</v>
      </c>
      <c r="BW2" s="172" t="s">
        <v>128</v>
      </c>
      <c r="BX2" s="172" t="s">
        <v>145</v>
      </c>
      <c r="BY2" s="172" t="s">
        <v>146</v>
      </c>
      <c r="CD2" s="172" t="s">
        <v>131</v>
      </c>
      <c r="CE2" s="172" t="s">
        <v>132</v>
      </c>
      <c r="CF2" s="172" t="s">
        <v>133</v>
      </c>
      <c r="CJ2" s="172" t="s">
        <v>156</v>
      </c>
      <c r="CK2" s="172" t="s">
        <v>255</v>
      </c>
      <c r="CL2" s="172" t="s">
        <v>136</v>
      </c>
      <c r="CM2" s="172" t="s">
        <v>137</v>
      </c>
      <c r="CN2" s="172" t="s">
        <v>475</v>
      </c>
      <c r="CO2" s="172" t="s">
        <v>139</v>
      </c>
      <c r="CR2" s="172" t="s">
        <v>140</v>
      </c>
      <c r="CW2" s="278">
        <f>CX2/S2</f>
        <v>34944.000000000007</v>
      </c>
      <c r="CX2" s="172">
        <f>(AE2+AV2)*1.12</f>
        <v>14990976.000000002</v>
      </c>
      <c r="CZ2" s="277"/>
      <c r="DA2" s="277"/>
      <c r="DB2" s="172" t="str">
        <f>G2&amp;"-"&amp;H2</f>
        <v>B10-L10</v>
      </c>
      <c r="DD2" s="279"/>
    </row>
    <row r="3" spans="1:108" x14ac:dyDescent="0.3">
      <c r="A3" s="273" t="str">
        <f t="shared" ref="A3:A28" si="0">DB3</f>
        <v>B10-L11</v>
      </c>
      <c r="B3" s="273" t="s">
        <v>100</v>
      </c>
      <c r="C3" s="273" t="s">
        <v>101</v>
      </c>
      <c r="D3" s="273" t="s">
        <v>469</v>
      </c>
      <c r="E3" s="273" t="s">
        <v>470</v>
      </c>
      <c r="F3" s="273" t="s">
        <v>471</v>
      </c>
      <c r="G3" s="273" t="s">
        <v>471</v>
      </c>
      <c r="H3" s="273" t="s">
        <v>105</v>
      </c>
      <c r="I3" s="172">
        <v>117</v>
      </c>
      <c r="J3" s="172" t="s">
        <v>476</v>
      </c>
      <c r="K3" s="172" t="s">
        <v>107</v>
      </c>
      <c r="L3" s="172" t="s">
        <v>108</v>
      </c>
      <c r="M3" s="172">
        <v>11</v>
      </c>
      <c r="N3" s="172" t="s">
        <v>109</v>
      </c>
      <c r="O3" s="172">
        <v>2</v>
      </c>
      <c r="P3" s="172" t="s">
        <v>110</v>
      </c>
      <c r="R3" s="172" t="s">
        <v>477</v>
      </c>
      <c r="S3" s="274">
        <v>573</v>
      </c>
      <c r="T3" s="275">
        <v>0</v>
      </c>
      <c r="U3" s="275"/>
      <c r="V3" s="273" t="s">
        <v>113</v>
      </c>
      <c r="W3" s="172" t="s">
        <v>114</v>
      </c>
      <c r="X3" s="172" t="s">
        <v>115</v>
      </c>
      <c r="AE3" s="276">
        <v>19665360</v>
      </c>
      <c r="AF3" s="172" t="s">
        <v>116</v>
      </c>
      <c r="AM3" s="172" t="s">
        <v>117</v>
      </c>
      <c r="AN3" s="172" t="s">
        <v>109</v>
      </c>
      <c r="AO3" s="172" t="s">
        <v>118</v>
      </c>
      <c r="AP3" s="172" t="s">
        <v>119</v>
      </c>
      <c r="AQ3" s="172">
        <v>4</v>
      </c>
      <c r="AR3" s="172" t="s">
        <v>120</v>
      </c>
      <c r="AS3" s="172" t="s">
        <v>201</v>
      </c>
      <c r="AV3" s="277"/>
      <c r="AX3" s="172" t="s">
        <v>122</v>
      </c>
      <c r="AY3" s="172" t="s">
        <v>478</v>
      </c>
      <c r="BJ3" s="172" t="s">
        <v>124</v>
      </c>
      <c r="BK3" s="172" t="s">
        <v>125</v>
      </c>
      <c r="BT3" s="172" t="s">
        <v>126</v>
      </c>
      <c r="BU3" s="172" t="s">
        <v>126</v>
      </c>
      <c r="BV3" s="172" t="s">
        <v>479</v>
      </c>
      <c r="BW3" s="172" t="s">
        <v>128</v>
      </c>
      <c r="BX3" s="172" t="s">
        <v>145</v>
      </c>
      <c r="BY3" s="172" t="s">
        <v>146</v>
      </c>
      <c r="CD3" s="172" t="s">
        <v>131</v>
      </c>
      <c r="CE3" s="172" t="s">
        <v>132</v>
      </c>
      <c r="CF3" s="172" t="s">
        <v>133</v>
      </c>
      <c r="CJ3" s="172" t="s">
        <v>134</v>
      </c>
      <c r="CK3" s="172" t="s">
        <v>480</v>
      </c>
      <c r="CL3" s="172" t="s">
        <v>136</v>
      </c>
      <c r="CM3" s="172" t="s">
        <v>137</v>
      </c>
      <c r="CN3" s="172" t="s">
        <v>481</v>
      </c>
      <c r="CO3" s="172" t="s">
        <v>139</v>
      </c>
      <c r="CR3" s="172" t="s">
        <v>140</v>
      </c>
      <c r="CW3" s="278">
        <f t="shared" ref="CW3:CW17" si="1">CX3/S3</f>
        <v>38438.400000000009</v>
      </c>
      <c r="CX3" s="172">
        <f t="shared" ref="CX3:CX17" si="2">(AE3+AV3)*1.12</f>
        <v>22025203.200000003</v>
      </c>
      <c r="DB3" s="172" t="str">
        <f t="shared" ref="DB3:DB28" si="3">G3&amp;"-"&amp;H3</f>
        <v>B10-L11</v>
      </c>
    </row>
    <row r="4" spans="1:108" x14ac:dyDescent="0.3">
      <c r="A4" s="273" t="str">
        <f t="shared" si="0"/>
        <v>B10-L12</v>
      </c>
      <c r="B4" s="273" t="s">
        <v>100</v>
      </c>
      <c r="C4" s="273" t="s">
        <v>101</v>
      </c>
      <c r="D4" s="273" t="s">
        <v>469</v>
      </c>
      <c r="E4" s="273" t="s">
        <v>470</v>
      </c>
      <c r="F4" s="273" t="s">
        <v>471</v>
      </c>
      <c r="G4" s="273" t="s">
        <v>471</v>
      </c>
      <c r="H4" s="273" t="s">
        <v>329</v>
      </c>
      <c r="I4" s="172">
        <v>118</v>
      </c>
      <c r="J4" s="172" t="s">
        <v>482</v>
      </c>
      <c r="K4" s="172" t="s">
        <v>107</v>
      </c>
      <c r="L4" s="172" t="s">
        <v>108</v>
      </c>
      <c r="M4" s="172">
        <v>11</v>
      </c>
      <c r="N4" s="172" t="s">
        <v>109</v>
      </c>
      <c r="O4" s="172">
        <v>2</v>
      </c>
      <c r="P4" s="172" t="s">
        <v>110</v>
      </c>
      <c r="R4" s="172" t="s">
        <v>483</v>
      </c>
      <c r="S4" s="274">
        <v>499</v>
      </c>
      <c r="T4" s="275">
        <v>0</v>
      </c>
      <c r="U4" s="275"/>
      <c r="V4" s="273" t="s">
        <v>113</v>
      </c>
      <c r="W4" s="172" t="s">
        <v>114</v>
      </c>
      <c r="X4" s="172" t="s">
        <v>115</v>
      </c>
      <c r="AE4" s="276">
        <v>17125680</v>
      </c>
      <c r="AF4" s="172" t="s">
        <v>116</v>
      </c>
      <c r="AM4" s="172" t="s">
        <v>117</v>
      </c>
      <c r="AN4" s="172" t="s">
        <v>109</v>
      </c>
      <c r="AO4" s="172" t="s">
        <v>118</v>
      </c>
      <c r="AP4" s="172" t="s">
        <v>119</v>
      </c>
      <c r="AQ4" s="172">
        <v>4</v>
      </c>
      <c r="AR4" s="172" t="s">
        <v>120</v>
      </c>
      <c r="AS4" s="172" t="s">
        <v>201</v>
      </c>
      <c r="AV4" s="277"/>
      <c r="AX4" s="172" t="s">
        <v>122</v>
      </c>
      <c r="AY4" s="172" t="s">
        <v>123</v>
      </c>
      <c r="BJ4" s="172" t="s">
        <v>124</v>
      </c>
      <c r="BK4" s="172" t="s">
        <v>125</v>
      </c>
      <c r="BT4" s="172" t="s">
        <v>126</v>
      </c>
      <c r="BU4" s="172" t="s">
        <v>126</v>
      </c>
      <c r="BV4" s="172" t="s">
        <v>479</v>
      </c>
      <c r="BW4" s="172" t="s">
        <v>128</v>
      </c>
      <c r="BX4" s="172" t="s">
        <v>145</v>
      </c>
      <c r="BY4" s="172" t="s">
        <v>146</v>
      </c>
      <c r="CD4" s="172" t="s">
        <v>131</v>
      </c>
      <c r="CE4" s="172" t="s">
        <v>132</v>
      </c>
      <c r="CF4" s="172" t="s">
        <v>133</v>
      </c>
      <c r="CJ4" s="172" t="s">
        <v>134</v>
      </c>
      <c r="CK4" s="172" t="s">
        <v>480</v>
      </c>
      <c r="CL4" s="172" t="s">
        <v>136</v>
      </c>
      <c r="CM4" s="172" t="s">
        <v>137</v>
      </c>
      <c r="CN4" s="172" t="s">
        <v>484</v>
      </c>
      <c r="CO4" s="172" t="s">
        <v>139</v>
      </c>
      <c r="CR4" s="172" t="s">
        <v>140</v>
      </c>
      <c r="CW4" s="278">
        <f t="shared" si="1"/>
        <v>38438.400000000001</v>
      </c>
      <c r="CX4" s="172">
        <f t="shared" si="2"/>
        <v>19180761.600000001</v>
      </c>
      <c r="DB4" s="172" t="str">
        <f t="shared" si="3"/>
        <v>B10-L12</v>
      </c>
    </row>
    <row r="5" spans="1:108" x14ac:dyDescent="0.3">
      <c r="A5" s="273" t="str">
        <f t="shared" si="0"/>
        <v>B10-L2</v>
      </c>
      <c r="B5" s="273" t="s">
        <v>100</v>
      </c>
      <c r="C5" s="273" t="s">
        <v>101</v>
      </c>
      <c r="D5" s="273" t="s">
        <v>469</v>
      </c>
      <c r="E5" s="273" t="s">
        <v>470</v>
      </c>
      <c r="F5" s="273" t="s">
        <v>471</v>
      </c>
      <c r="G5" s="273" t="s">
        <v>471</v>
      </c>
      <c r="H5" s="273" t="s">
        <v>246</v>
      </c>
      <c r="I5" s="172">
        <v>108</v>
      </c>
      <c r="J5" s="172" t="s">
        <v>485</v>
      </c>
      <c r="K5" s="172" t="s">
        <v>107</v>
      </c>
      <c r="L5" s="172" t="s">
        <v>108</v>
      </c>
      <c r="M5" s="172">
        <v>11</v>
      </c>
      <c r="N5" s="172" t="s">
        <v>109</v>
      </c>
      <c r="O5" s="172">
        <v>2</v>
      </c>
      <c r="P5" s="172" t="s">
        <v>110</v>
      </c>
      <c r="R5" s="172" t="s">
        <v>486</v>
      </c>
      <c r="S5" s="274">
        <v>456</v>
      </c>
      <c r="T5" s="275">
        <v>0</v>
      </c>
      <c r="U5" s="275"/>
      <c r="V5" s="273" t="s">
        <v>113</v>
      </c>
      <c r="W5" s="172" t="s">
        <v>114</v>
      </c>
      <c r="X5" s="172" t="s">
        <v>115</v>
      </c>
      <c r="AE5" s="276">
        <v>16361280</v>
      </c>
      <c r="AF5" s="172" t="s">
        <v>116</v>
      </c>
      <c r="AM5" s="172" t="s">
        <v>117</v>
      </c>
      <c r="AN5" s="172" t="s">
        <v>109</v>
      </c>
      <c r="AO5" s="172" t="s">
        <v>118</v>
      </c>
      <c r="AP5" s="172" t="s">
        <v>119</v>
      </c>
      <c r="AQ5" s="172">
        <v>4</v>
      </c>
      <c r="AR5" s="172" t="s">
        <v>120</v>
      </c>
      <c r="AS5" s="172" t="s">
        <v>201</v>
      </c>
      <c r="AV5" s="277"/>
      <c r="AX5" s="172" t="s">
        <v>122</v>
      </c>
      <c r="AY5" s="172" t="s">
        <v>123</v>
      </c>
      <c r="BJ5" s="172" t="s">
        <v>124</v>
      </c>
      <c r="BK5" s="172" t="s">
        <v>125</v>
      </c>
      <c r="BT5" s="172" t="s">
        <v>126</v>
      </c>
      <c r="BU5" s="172" t="s">
        <v>126</v>
      </c>
      <c r="BV5" s="172" t="s">
        <v>487</v>
      </c>
      <c r="BW5" s="172" t="s">
        <v>128</v>
      </c>
      <c r="BX5" s="172" t="s">
        <v>145</v>
      </c>
      <c r="BY5" s="172" t="s">
        <v>146</v>
      </c>
      <c r="CD5" s="172" t="s">
        <v>131</v>
      </c>
      <c r="CE5" s="172" t="s">
        <v>132</v>
      </c>
      <c r="CF5" s="172" t="s">
        <v>133</v>
      </c>
      <c r="CJ5" s="172" t="s">
        <v>156</v>
      </c>
      <c r="CK5" s="172" t="s">
        <v>255</v>
      </c>
      <c r="CL5" s="172" t="s">
        <v>136</v>
      </c>
      <c r="CM5" s="172" t="s">
        <v>137</v>
      </c>
      <c r="CN5" s="172" t="s">
        <v>488</v>
      </c>
      <c r="CO5" s="172" t="s">
        <v>139</v>
      </c>
      <c r="CR5" s="172" t="s">
        <v>140</v>
      </c>
      <c r="CW5" s="278">
        <f t="shared" si="1"/>
        <v>40185.600000000006</v>
      </c>
      <c r="CX5" s="172">
        <f t="shared" si="2"/>
        <v>18324633.600000001</v>
      </c>
      <c r="DB5" s="172" t="str">
        <f t="shared" si="3"/>
        <v>B10-L2</v>
      </c>
    </row>
    <row r="6" spans="1:108" x14ac:dyDescent="0.3">
      <c r="A6" s="273" t="str">
        <f t="shared" si="0"/>
        <v>B10-L8</v>
      </c>
      <c r="B6" s="273" t="s">
        <v>100</v>
      </c>
      <c r="C6" s="273" t="s">
        <v>101</v>
      </c>
      <c r="D6" s="273" t="s">
        <v>469</v>
      </c>
      <c r="E6" s="273" t="s">
        <v>470</v>
      </c>
      <c r="F6" s="273" t="s">
        <v>471</v>
      </c>
      <c r="G6" s="273" t="s">
        <v>471</v>
      </c>
      <c r="H6" s="273" t="s">
        <v>430</v>
      </c>
      <c r="I6" s="172">
        <v>114</v>
      </c>
      <c r="J6" s="172" t="s">
        <v>489</v>
      </c>
      <c r="K6" s="172" t="s">
        <v>107</v>
      </c>
      <c r="L6" s="172" t="s">
        <v>108</v>
      </c>
      <c r="M6" s="172">
        <v>11</v>
      </c>
      <c r="N6" s="172" t="s">
        <v>109</v>
      </c>
      <c r="O6" s="172">
        <v>2</v>
      </c>
      <c r="P6" s="172" t="s">
        <v>110</v>
      </c>
      <c r="R6" s="172" t="s">
        <v>150</v>
      </c>
      <c r="S6" s="274">
        <v>386</v>
      </c>
      <c r="T6" s="275">
        <v>0</v>
      </c>
      <c r="U6" s="275"/>
      <c r="V6" s="273" t="s">
        <v>113</v>
      </c>
      <c r="W6" s="172" t="s">
        <v>114</v>
      </c>
      <c r="X6" s="172" t="s">
        <v>115</v>
      </c>
      <c r="AE6" s="276">
        <v>12043200</v>
      </c>
      <c r="AF6" s="172" t="s">
        <v>116</v>
      </c>
      <c r="AM6" s="172" t="s">
        <v>117</v>
      </c>
      <c r="AN6" s="172" t="s">
        <v>109</v>
      </c>
      <c r="AO6" s="172" t="s">
        <v>118</v>
      </c>
      <c r="AP6" s="172" t="s">
        <v>119</v>
      </c>
      <c r="AQ6" s="172">
        <v>4</v>
      </c>
      <c r="AR6" s="172" t="s">
        <v>120</v>
      </c>
      <c r="AS6" s="172" t="s">
        <v>201</v>
      </c>
      <c r="AV6" s="277"/>
      <c r="AX6" s="172" t="s">
        <v>122</v>
      </c>
      <c r="AY6" s="172" t="s">
        <v>123</v>
      </c>
      <c r="BJ6" s="172" t="s">
        <v>124</v>
      </c>
      <c r="BK6" s="172" t="s">
        <v>125</v>
      </c>
      <c r="BT6" s="172" t="s">
        <v>126</v>
      </c>
      <c r="BU6" s="172" t="s">
        <v>126</v>
      </c>
      <c r="BV6" s="172" t="s">
        <v>490</v>
      </c>
      <c r="BW6" s="172" t="s">
        <v>128</v>
      </c>
      <c r="BX6" s="172" t="s">
        <v>145</v>
      </c>
      <c r="BY6" s="172" t="s">
        <v>146</v>
      </c>
      <c r="CD6" s="172" t="s">
        <v>131</v>
      </c>
      <c r="CE6" s="172" t="s">
        <v>132</v>
      </c>
      <c r="CF6" s="172" t="s">
        <v>133</v>
      </c>
      <c r="CJ6" s="172" t="s">
        <v>134</v>
      </c>
      <c r="CK6" s="172" t="s">
        <v>480</v>
      </c>
      <c r="CL6" s="172" t="s">
        <v>136</v>
      </c>
      <c r="CM6" s="172" t="s">
        <v>137</v>
      </c>
      <c r="CN6" s="172" t="s">
        <v>491</v>
      </c>
      <c r="CO6" s="172" t="s">
        <v>139</v>
      </c>
      <c r="CR6" s="172" t="s">
        <v>140</v>
      </c>
      <c r="CW6" s="278">
        <f t="shared" si="1"/>
        <v>34944.000000000007</v>
      </c>
      <c r="CX6" s="172">
        <f t="shared" si="2"/>
        <v>13488384.000000002</v>
      </c>
      <c r="DB6" s="172" t="str">
        <f t="shared" si="3"/>
        <v>B10-L8</v>
      </c>
    </row>
    <row r="7" spans="1:108" x14ac:dyDescent="0.3">
      <c r="A7" s="273" t="str">
        <f t="shared" si="0"/>
        <v>B10-L9</v>
      </c>
      <c r="B7" s="273" t="s">
        <v>100</v>
      </c>
      <c r="C7" s="273" t="s">
        <v>101</v>
      </c>
      <c r="D7" s="273" t="s">
        <v>469</v>
      </c>
      <c r="E7" s="273" t="s">
        <v>470</v>
      </c>
      <c r="F7" s="273" t="s">
        <v>471</v>
      </c>
      <c r="G7" s="273" t="s">
        <v>471</v>
      </c>
      <c r="H7" s="273" t="s">
        <v>148</v>
      </c>
      <c r="I7" s="172">
        <v>115</v>
      </c>
      <c r="J7" s="172" t="s">
        <v>492</v>
      </c>
      <c r="K7" s="172" t="s">
        <v>107</v>
      </c>
      <c r="L7" s="172" t="s">
        <v>108</v>
      </c>
      <c r="M7" s="172">
        <v>11</v>
      </c>
      <c r="N7" s="172" t="s">
        <v>109</v>
      </c>
      <c r="O7" s="172">
        <v>2</v>
      </c>
      <c r="P7" s="172" t="s">
        <v>110</v>
      </c>
      <c r="R7" s="172" t="s">
        <v>493</v>
      </c>
      <c r="S7" s="274">
        <v>407</v>
      </c>
      <c r="T7" s="275">
        <v>0</v>
      </c>
      <c r="U7" s="275"/>
      <c r="V7" s="273" t="s">
        <v>113</v>
      </c>
      <c r="W7" s="172" t="s">
        <v>114</v>
      </c>
      <c r="X7" s="172" t="s">
        <v>115</v>
      </c>
      <c r="AE7" s="276">
        <v>12698400</v>
      </c>
      <c r="AF7" s="172" t="s">
        <v>116</v>
      </c>
      <c r="AM7" s="172" t="s">
        <v>117</v>
      </c>
      <c r="AN7" s="172" t="s">
        <v>109</v>
      </c>
      <c r="AO7" s="172" t="s">
        <v>118</v>
      </c>
      <c r="AP7" s="172" t="s">
        <v>119</v>
      </c>
      <c r="AQ7" s="172">
        <v>4</v>
      </c>
      <c r="AR7" s="172" t="s">
        <v>120</v>
      </c>
      <c r="AS7" s="172" t="s">
        <v>201</v>
      </c>
      <c r="AV7" s="277"/>
      <c r="AX7" s="172" t="s">
        <v>122</v>
      </c>
      <c r="AY7" s="172" t="s">
        <v>123</v>
      </c>
      <c r="BJ7" s="172" t="s">
        <v>124</v>
      </c>
      <c r="BK7" s="172" t="s">
        <v>125</v>
      </c>
      <c r="BT7" s="172" t="s">
        <v>126</v>
      </c>
      <c r="BU7" s="172" t="s">
        <v>126</v>
      </c>
      <c r="BV7" s="172" t="s">
        <v>490</v>
      </c>
      <c r="BW7" s="172" t="s">
        <v>128</v>
      </c>
      <c r="BX7" s="172" t="s">
        <v>145</v>
      </c>
      <c r="BY7" s="172" t="s">
        <v>146</v>
      </c>
      <c r="CD7" s="172" t="s">
        <v>131</v>
      </c>
      <c r="CE7" s="172" t="s">
        <v>132</v>
      </c>
      <c r="CF7" s="172" t="s">
        <v>133</v>
      </c>
      <c r="CJ7" s="172" t="s">
        <v>134</v>
      </c>
      <c r="CK7" s="172" t="s">
        <v>480</v>
      </c>
      <c r="CL7" s="172" t="s">
        <v>136</v>
      </c>
      <c r="CM7" s="172" t="s">
        <v>137</v>
      </c>
      <c r="CN7" s="172" t="s">
        <v>494</v>
      </c>
      <c r="CO7" s="172" t="s">
        <v>139</v>
      </c>
      <c r="CR7" s="172" t="s">
        <v>140</v>
      </c>
      <c r="CW7" s="278">
        <f t="shared" si="1"/>
        <v>34944.000000000007</v>
      </c>
      <c r="CX7" s="172">
        <f t="shared" si="2"/>
        <v>14222208.000000002</v>
      </c>
      <c r="DB7" s="172" t="str">
        <f t="shared" si="3"/>
        <v>B10-L9</v>
      </c>
    </row>
    <row r="8" spans="1:108" x14ac:dyDescent="0.3">
      <c r="A8" s="273" t="str">
        <f t="shared" si="0"/>
        <v>B11-L4</v>
      </c>
      <c r="B8" s="273" t="s">
        <v>100</v>
      </c>
      <c r="C8" s="273" t="s">
        <v>101</v>
      </c>
      <c r="D8" s="273" t="s">
        <v>469</v>
      </c>
      <c r="E8" s="273" t="s">
        <v>470</v>
      </c>
      <c r="F8" s="273" t="s">
        <v>495</v>
      </c>
      <c r="G8" s="273" t="s">
        <v>495</v>
      </c>
      <c r="H8" s="273" t="s">
        <v>197</v>
      </c>
      <c r="I8" s="172">
        <v>122</v>
      </c>
      <c r="J8" s="172" t="s">
        <v>496</v>
      </c>
      <c r="K8" s="172" t="s">
        <v>107</v>
      </c>
      <c r="L8" s="172" t="s">
        <v>108</v>
      </c>
      <c r="M8" s="172">
        <v>11</v>
      </c>
      <c r="N8" s="172" t="s">
        <v>109</v>
      </c>
      <c r="O8" s="172">
        <v>2</v>
      </c>
      <c r="P8" s="172" t="s">
        <v>110</v>
      </c>
      <c r="R8" s="172" t="s">
        <v>497</v>
      </c>
      <c r="S8" s="274">
        <v>427</v>
      </c>
      <c r="T8" s="275">
        <v>0</v>
      </c>
      <c r="U8" s="275"/>
      <c r="V8" s="273" t="s">
        <v>113</v>
      </c>
      <c r="W8" s="172" t="s">
        <v>114</v>
      </c>
      <c r="X8" s="172" t="s">
        <v>115</v>
      </c>
      <c r="AE8" s="276">
        <v>13322400</v>
      </c>
      <c r="AF8" s="172" t="s">
        <v>116</v>
      </c>
      <c r="AM8" s="172" t="s">
        <v>117</v>
      </c>
      <c r="AN8" s="172" t="s">
        <v>109</v>
      </c>
      <c r="AO8" s="172" t="s">
        <v>118</v>
      </c>
      <c r="AP8" s="172" t="s">
        <v>119</v>
      </c>
      <c r="AQ8" s="172">
        <v>4</v>
      </c>
      <c r="AR8" s="172" t="s">
        <v>120</v>
      </c>
      <c r="AS8" s="172" t="s">
        <v>201</v>
      </c>
      <c r="AV8" s="277"/>
      <c r="AX8" s="172" t="s">
        <v>122</v>
      </c>
      <c r="AY8" s="172" t="s">
        <v>123</v>
      </c>
      <c r="BJ8" s="172" t="s">
        <v>124</v>
      </c>
      <c r="BK8" s="172" t="s">
        <v>125</v>
      </c>
      <c r="BT8" s="172" t="s">
        <v>126</v>
      </c>
      <c r="BU8" s="172" t="s">
        <v>126</v>
      </c>
      <c r="BV8" s="172" t="s">
        <v>498</v>
      </c>
      <c r="BW8" s="172" t="s">
        <v>128</v>
      </c>
      <c r="BX8" s="172" t="s">
        <v>145</v>
      </c>
      <c r="BY8" s="172" t="s">
        <v>146</v>
      </c>
      <c r="CD8" s="172" t="s">
        <v>131</v>
      </c>
      <c r="CE8" s="172" t="s">
        <v>132</v>
      </c>
      <c r="CF8" s="172" t="s">
        <v>133</v>
      </c>
      <c r="CJ8" s="172" t="s">
        <v>134</v>
      </c>
      <c r="CK8" s="172" t="s">
        <v>480</v>
      </c>
      <c r="CL8" s="172" t="s">
        <v>136</v>
      </c>
      <c r="CM8" s="172" t="s">
        <v>137</v>
      </c>
      <c r="CN8" s="172" t="s">
        <v>499</v>
      </c>
      <c r="CO8" s="172" t="s">
        <v>139</v>
      </c>
      <c r="CR8" s="172" t="s">
        <v>140</v>
      </c>
      <c r="CW8" s="278">
        <f t="shared" si="1"/>
        <v>34944.000000000007</v>
      </c>
      <c r="CX8" s="172">
        <f t="shared" si="2"/>
        <v>14921088.000000002</v>
      </c>
      <c r="DB8" s="172" t="str">
        <f t="shared" si="3"/>
        <v>B11-L4</v>
      </c>
    </row>
    <row r="9" spans="1:108" x14ac:dyDescent="0.3">
      <c r="A9" s="273" t="str">
        <f t="shared" si="0"/>
        <v>B11-L5</v>
      </c>
      <c r="B9" s="273" t="s">
        <v>100</v>
      </c>
      <c r="C9" s="273" t="s">
        <v>101</v>
      </c>
      <c r="D9" s="273" t="s">
        <v>469</v>
      </c>
      <c r="E9" s="273" t="s">
        <v>470</v>
      </c>
      <c r="F9" s="273" t="s">
        <v>495</v>
      </c>
      <c r="G9" s="273" t="s">
        <v>495</v>
      </c>
      <c r="H9" s="273" t="s">
        <v>177</v>
      </c>
      <c r="I9" s="172">
        <v>123</v>
      </c>
      <c r="J9" s="172" t="s">
        <v>500</v>
      </c>
      <c r="K9" s="172" t="s">
        <v>107</v>
      </c>
      <c r="L9" s="172" t="s">
        <v>108</v>
      </c>
      <c r="M9" s="172">
        <v>11</v>
      </c>
      <c r="N9" s="172" t="s">
        <v>109</v>
      </c>
      <c r="O9" s="172">
        <v>2</v>
      </c>
      <c r="P9" s="172" t="s">
        <v>110</v>
      </c>
      <c r="R9" s="172" t="s">
        <v>501</v>
      </c>
      <c r="S9" s="274">
        <v>485</v>
      </c>
      <c r="T9" s="275">
        <v>0</v>
      </c>
      <c r="U9" s="275"/>
      <c r="V9" s="273" t="s">
        <v>113</v>
      </c>
      <c r="W9" s="172" t="s">
        <v>114</v>
      </c>
      <c r="X9" s="172" t="s">
        <v>115</v>
      </c>
      <c r="AE9" s="276">
        <v>15132000</v>
      </c>
      <c r="AF9" s="172" t="s">
        <v>116</v>
      </c>
      <c r="AM9" s="172" t="s">
        <v>117</v>
      </c>
      <c r="AN9" s="172" t="s">
        <v>109</v>
      </c>
      <c r="AO9" s="172" t="s">
        <v>118</v>
      </c>
      <c r="AP9" s="172" t="s">
        <v>119</v>
      </c>
      <c r="AQ9" s="172">
        <v>4</v>
      </c>
      <c r="AR9" s="172" t="s">
        <v>120</v>
      </c>
      <c r="AS9" s="172" t="s">
        <v>201</v>
      </c>
      <c r="AV9" s="277"/>
      <c r="AX9" s="172" t="s">
        <v>122</v>
      </c>
      <c r="AY9" s="172" t="s">
        <v>123</v>
      </c>
      <c r="BJ9" s="172" t="s">
        <v>124</v>
      </c>
      <c r="BK9" s="172" t="s">
        <v>125</v>
      </c>
      <c r="BT9" s="172" t="s">
        <v>126</v>
      </c>
      <c r="BU9" s="172" t="s">
        <v>126</v>
      </c>
      <c r="BV9" s="172" t="s">
        <v>502</v>
      </c>
      <c r="BW9" s="172" t="s">
        <v>128</v>
      </c>
      <c r="BX9" s="172" t="s">
        <v>145</v>
      </c>
      <c r="BY9" s="172" t="s">
        <v>146</v>
      </c>
      <c r="CD9" s="172" t="s">
        <v>131</v>
      </c>
      <c r="CE9" s="172" t="s">
        <v>132</v>
      </c>
      <c r="CF9" s="172" t="s">
        <v>133</v>
      </c>
      <c r="CJ9" s="172" t="s">
        <v>156</v>
      </c>
      <c r="CK9" s="172" t="s">
        <v>255</v>
      </c>
      <c r="CL9" s="172" t="s">
        <v>136</v>
      </c>
      <c r="CM9" s="172" t="s">
        <v>137</v>
      </c>
      <c r="CN9" s="172" t="s">
        <v>503</v>
      </c>
      <c r="CO9" s="172" t="s">
        <v>139</v>
      </c>
      <c r="CR9" s="172" t="s">
        <v>140</v>
      </c>
      <c r="CW9" s="278">
        <f t="shared" si="1"/>
        <v>34944</v>
      </c>
      <c r="CX9" s="172">
        <f t="shared" si="2"/>
        <v>16947840</v>
      </c>
      <c r="DB9" s="172" t="str">
        <f t="shared" si="3"/>
        <v>B11-L5</v>
      </c>
    </row>
    <row r="10" spans="1:108" x14ac:dyDescent="0.3">
      <c r="A10" s="273" t="str">
        <f t="shared" si="0"/>
        <v>B11-L6</v>
      </c>
      <c r="B10" s="273" t="s">
        <v>100</v>
      </c>
      <c r="C10" s="273" t="s">
        <v>101</v>
      </c>
      <c r="D10" s="273" t="s">
        <v>469</v>
      </c>
      <c r="E10" s="273" t="s">
        <v>470</v>
      </c>
      <c r="F10" s="273" t="s">
        <v>495</v>
      </c>
      <c r="G10" s="273" t="s">
        <v>495</v>
      </c>
      <c r="H10" s="273" t="s">
        <v>183</v>
      </c>
      <c r="I10" s="172">
        <v>124</v>
      </c>
      <c r="J10" s="172" t="s">
        <v>504</v>
      </c>
      <c r="K10" s="172" t="s">
        <v>107</v>
      </c>
      <c r="L10" s="172" t="s">
        <v>108</v>
      </c>
      <c r="M10" s="172">
        <v>11</v>
      </c>
      <c r="N10" s="172" t="s">
        <v>109</v>
      </c>
      <c r="O10" s="172">
        <v>2</v>
      </c>
      <c r="P10" s="172" t="s">
        <v>110</v>
      </c>
      <c r="R10" s="172" t="s">
        <v>505</v>
      </c>
      <c r="S10" s="274">
        <v>750</v>
      </c>
      <c r="T10" s="275">
        <v>0</v>
      </c>
      <c r="U10" s="275"/>
      <c r="V10" s="273" t="s">
        <v>113</v>
      </c>
      <c r="W10" s="172" t="s">
        <v>114</v>
      </c>
      <c r="X10" s="172" t="s">
        <v>115</v>
      </c>
      <c r="AE10" s="276">
        <v>22230000</v>
      </c>
      <c r="AF10" s="172" t="s">
        <v>116</v>
      </c>
      <c r="AM10" s="172" t="s">
        <v>117</v>
      </c>
      <c r="AN10" s="172" t="s">
        <v>109</v>
      </c>
      <c r="AO10" s="172" t="s">
        <v>118</v>
      </c>
      <c r="AP10" s="172" t="s">
        <v>119</v>
      </c>
      <c r="AQ10" s="172">
        <v>4</v>
      </c>
      <c r="AR10" s="172" t="s">
        <v>120</v>
      </c>
      <c r="AS10" s="172" t="s">
        <v>201</v>
      </c>
      <c r="AV10" s="277"/>
      <c r="AX10" s="172" t="s">
        <v>122</v>
      </c>
      <c r="AY10" s="172" t="s">
        <v>123</v>
      </c>
      <c r="BJ10" s="172" t="s">
        <v>124</v>
      </c>
      <c r="BK10" s="172" t="s">
        <v>125</v>
      </c>
      <c r="BT10" s="172" t="s">
        <v>126</v>
      </c>
      <c r="BU10" s="172" t="s">
        <v>126</v>
      </c>
      <c r="BV10" s="172" t="s">
        <v>502</v>
      </c>
      <c r="BW10" s="172" t="s">
        <v>128</v>
      </c>
      <c r="BX10" s="172" t="s">
        <v>145</v>
      </c>
      <c r="BY10" s="172" t="s">
        <v>146</v>
      </c>
      <c r="CD10" s="172" t="s">
        <v>131</v>
      </c>
      <c r="CE10" s="172" t="s">
        <v>132</v>
      </c>
      <c r="CF10" s="172" t="s">
        <v>133</v>
      </c>
      <c r="CJ10" s="172" t="s">
        <v>156</v>
      </c>
      <c r="CK10" s="172" t="s">
        <v>255</v>
      </c>
      <c r="CL10" s="172" t="s">
        <v>136</v>
      </c>
      <c r="CM10" s="172" t="s">
        <v>137</v>
      </c>
      <c r="CN10" s="172" t="s">
        <v>506</v>
      </c>
      <c r="CO10" s="172" t="s">
        <v>139</v>
      </c>
      <c r="CR10" s="172" t="s">
        <v>140</v>
      </c>
      <c r="CW10" s="278">
        <f t="shared" si="1"/>
        <v>33196.800000000003</v>
      </c>
      <c r="CX10" s="172">
        <f t="shared" si="2"/>
        <v>24897600.000000004</v>
      </c>
      <c r="DB10" s="172" t="str">
        <f t="shared" si="3"/>
        <v>B11-L6</v>
      </c>
    </row>
    <row r="11" spans="1:108" x14ac:dyDescent="0.3">
      <c r="A11" s="273" t="str">
        <f t="shared" si="0"/>
        <v>B11-L7</v>
      </c>
      <c r="B11" s="273" t="s">
        <v>100</v>
      </c>
      <c r="C11" s="273" t="s">
        <v>101</v>
      </c>
      <c r="D11" s="273" t="s">
        <v>469</v>
      </c>
      <c r="E11" s="273" t="s">
        <v>470</v>
      </c>
      <c r="F11" s="273" t="s">
        <v>495</v>
      </c>
      <c r="G11" s="273" t="s">
        <v>495</v>
      </c>
      <c r="H11" s="273" t="s">
        <v>362</v>
      </c>
      <c r="I11" s="172">
        <v>125</v>
      </c>
      <c r="J11" s="172" t="s">
        <v>507</v>
      </c>
      <c r="K11" s="172" t="s">
        <v>107</v>
      </c>
      <c r="L11" s="172" t="s">
        <v>108</v>
      </c>
      <c r="M11" s="172">
        <v>11</v>
      </c>
      <c r="N11" s="172" t="s">
        <v>109</v>
      </c>
      <c r="O11" s="172">
        <v>2</v>
      </c>
      <c r="P11" s="172" t="s">
        <v>110</v>
      </c>
      <c r="R11" s="172" t="s">
        <v>508</v>
      </c>
      <c r="S11" s="274">
        <v>640</v>
      </c>
      <c r="T11" s="275">
        <v>0</v>
      </c>
      <c r="U11" s="275"/>
      <c r="V11" s="273" t="s">
        <v>113</v>
      </c>
      <c r="W11" s="172" t="s">
        <v>114</v>
      </c>
      <c r="X11" s="172" t="s">
        <v>115</v>
      </c>
      <c r="AE11" s="276">
        <v>17971200</v>
      </c>
      <c r="AF11" s="172" t="s">
        <v>116</v>
      </c>
      <c r="AM11" s="172" t="s">
        <v>117</v>
      </c>
      <c r="AN11" s="172" t="s">
        <v>109</v>
      </c>
      <c r="AO11" s="172" t="s">
        <v>118</v>
      </c>
      <c r="AP11" s="172" t="s">
        <v>119</v>
      </c>
      <c r="AQ11" s="172">
        <v>4</v>
      </c>
      <c r="AR11" s="172" t="s">
        <v>120</v>
      </c>
      <c r="AS11" s="172" t="s">
        <v>201</v>
      </c>
      <c r="AV11" s="277"/>
      <c r="AX11" s="172" t="s">
        <v>122</v>
      </c>
      <c r="AY11" s="172" t="s">
        <v>123</v>
      </c>
      <c r="BJ11" s="172" t="s">
        <v>124</v>
      </c>
      <c r="BK11" s="172" t="s">
        <v>125</v>
      </c>
      <c r="BT11" s="172" t="s">
        <v>126</v>
      </c>
      <c r="BU11" s="172" t="s">
        <v>126</v>
      </c>
      <c r="BV11" s="172" t="s">
        <v>502</v>
      </c>
      <c r="BW11" s="172" t="s">
        <v>128</v>
      </c>
      <c r="BX11" s="172" t="s">
        <v>145</v>
      </c>
      <c r="BY11" s="172" t="s">
        <v>146</v>
      </c>
      <c r="CD11" s="172" t="s">
        <v>131</v>
      </c>
      <c r="CE11" s="172" t="s">
        <v>132</v>
      </c>
      <c r="CF11" s="172" t="s">
        <v>133</v>
      </c>
      <c r="CJ11" s="172" t="s">
        <v>134</v>
      </c>
      <c r="CK11" s="172" t="s">
        <v>480</v>
      </c>
      <c r="CL11" s="172" t="s">
        <v>136</v>
      </c>
      <c r="CM11" s="172" t="s">
        <v>137</v>
      </c>
      <c r="CN11" s="172" t="s">
        <v>509</v>
      </c>
      <c r="CO11" s="172" t="s">
        <v>139</v>
      </c>
      <c r="CR11" s="172" t="s">
        <v>140</v>
      </c>
      <c r="CW11" s="278">
        <f t="shared" si="1"/>
        <v>31449.600000000006</v>
      </c>
      <c r="CX11" s="172">
        <f t="shared" si="2"/>
        <v>20127744.000000004</v>
      </c>
      <c r="DB11" s="172" t="str">
        <f t="shared" si="3"/>
        <v>B11-L7</v>
      </c>
    </row>
    <row r="12" spans="1:108" x14ac:dyDescent="0.3">
      <c r="A12" s="273" t="str">
        <f t="shared" si="0"/>
        <v>B13-L6</v>
      </c>
      <c r="B12" s="273" t="s">
        <v>100</v>
      </c>
      <c r="C12" s="273" t="s">
        <v>101</v>
      </c>
      <c r="D12" s="273" t="s">
        <v>469</v>
      </c>
      <c r="E12" s="273" t="s">
        <v>470</v>
      </c>
      <c r="F12" s="273" t="s">
        <v>510</v>
      </c>
      <c r="G12" s="273" t="s">
        <v>510</v>
      </c>
      <c r="H12" s="273" t="s">
        <v>183</v>
      </c>
      <c r="I12" s="172">
        <v>139</v>
      </c>
      <c r="J12" s="172" t="s">
        <v>511</v>
      </c>
      <c r="K12" s="172" t="s">
        <v>107</v>
      </c>
      <c r="L12" s="172" t="s">
        <v>108</v>
      </c>
      <c r="M12" s="172">
        <v>11</v>
      </c>
      <c r="N12" s="172" t="s">
        <v>109</v>
      </c>
      <c r="O12" s="172">
        <v>2</v>
      </c>
      <c r="P12" s="172" t="s">
        <v>110</v>
      </c>
      <c r="R12" s="172" t="s">
        <v>512</v>
      </c>
      <c r="S12" s="274">
        <v>491</v>
      </c>
      <c r="T12" s="275">
        <v>0</v>
      </c>
      <c r="U12" s="275"/>
      <c r="V12" s="273" t="s">
        <v>113</v>
      </c>
      <c r="W12" s="172" t="s">
        <v>114</v>
      </c>
      <c r="X12" s="172" t="s">
        <v>115</v>
      </c>
      <c r="AE12" s="276">
        <v>13021320</v>
      </c>
      <c r="AF12" s="172" t="s">
        <v>116</v>
      </c>
      <c r="AM12" s="172" t="s">
        <v>117</v>
      </c>
      <c r="AN12" s="172" t="s">
        <v>109</v>
      </c>
      <c r="AO12" s="172" t="s">
        <v>118</v>
      </c>
      <c r="AP12" s="172" t="s">
        <v>119</v>
      </c>
      <c r="AQ12" s="172">
        <v>4</v>
      </c>
      <c r="AR12" s="172" t="s">
        <v>120</v>
      </c>
      <c r="AS12" s="172" t="s">
        <v>201</v>
      </c>
      <c r="AV12" s="277"/>
      <c r="AX12" s="172" t="s">
        <v>122</v>
      </c>
      <c r="AY12" s="172" t="s">
        <v>123</v>
      </c>
      <c r="BJ12" s="172" t="s">
        <v>124</v>
      </c>
      <c r="BK12" s="172" t="s">
        <v>125</v>
      </c>
      <c r="BT12" s="172" t="s">
        <v>126</v>
      </c>
      <c r="BU12" s="172" t="s">
        <v>126</v>
      </c>
      <c r="BV12" s="172" t="s">
        <v>513</v>
      </c>
      <c r="BW12" s="172" t="s">
        <v>514</v>
      </c>
      <c r="BX12" s="172" t="s">
        <v>515</v>
      </c>
      <c r="BY12" s="172" t="s">
        <v>516</v>
      </c>
      <c r="CD12" s="172" t="s">
        <v>131</v>
      </c>
      <c r="CE12" s="172" t="s">
        <v>132</v>
      </c>
      <c r="CF12" s="172" t="s">
        <v>133</v>
      </c>
      <c r="CJ12" s="172" t="s">
        <v>134</v>
      </c>
      <c r="CK12" s="172" t="s">
        <v>480</v>
      </c>
      <c r="CL12" s="172" t="s">
        <v>136</v>
      </c>
      <c r="CM12" s="172" t="s">
        <v>137</v>
      </c>
      <c r="CN12" s="172" t="s">
        <v>517</v>
      </c>
      <c r="CO12" s="172" t="s">
        <v>139</v>
      </c>
      <c r="CR12" s="172" t="s">
        <v>140</v>
      </c>
      <c r="CW12" s="278">
        <f t="shared" si="1"/>
        <v>29702.400000000005</v>
      </c>
      <c r="CX12" s="172">
        <f t="shared" si="2"/>
        <v>14583878.400000002</v>
      </c>
      <c r="DB12" s="172" t="str">
        <f t="shared" si="3"/>
        <v>B13-L6</v>
      </c>
    </row>
    <row r="13" spans="1:108" x14ac:dyDescent="0.3">
      <c r="A13" s="273" t="str">
        <f t="shared" si="0"/>
        <v>B13-L8</v>
      </c>
      <c r="B13" s="273" t="s">
        <v>100</v>
      </c>
      <c r="C13" s="273" t="s">
        <v>101</v>
      </c>
      <c r="D13" s="273" t="s">
        <v>469</v>
      </c>
      <c r="E13" s="273" t="s">
        <v>470</v>
      </c>
      <c r="F13" s="273" t="s">
        <v>510</v>
      </c>
      <c r="G13" s="273" t="s">
        <v>510</v>
      </c>
      <c r="H13" s="273" t="s">
        <v>430</v>
      </c>
      <c r="I13" s="172">
        <v>141</v>
      </c>
      <c r="J13" s="172" t="s">
        <v>518</v>
      </c>
      <c r="K13" s="172" t="s">
        <v>107</v>
      </c>
      <c r="L13" s="172" t="s">
        <v>108</v>
      </c>
      <c r="M13" s="172">
        <v>11</v>
      </c>
      <c r="N13" s="172" t="s">
        <v>109</v>
      </c>
      <c r="O13" s="172">
        <v>2</v>
      </c>
      <c r="P13" s="172" t="s">
        <v>110</v>
      </c>
      <c r="R13" s="172" t="s">
        <v>519</v>
      </c>
      <c r="S13" s="274">
        <v>473</v>
      </c>
      <c r="T13" s="275">
        <v>0</v>
      </c>
      <c r="U13" s="275"/>
      <c r="V13" s="273" t="s">
        <v>113</v>
      </c>
      <c r="W13" s="172" t="s">
        <v>114</v>
      </c>
      <c r="X13" s="172" t="s">
        <v>115</v>
      </c>
      <c r="AE13" s="276">
        <v>13281840</v>
      </c>
      <c r="AF13" s="172" t="s">
        <v>116</v>
      </c>
      <c r="AM13" s="172" t="s">
        <v>117</v>
      </c>
      <c r="AN13" s="172" t="s">
        <v>109</v>
      </c>
      <c r="AO13" s="172" t="s">
        <v>118</v>
      </c>
      <c r="AP13" s="172" t="s">
        <v>119</v>
      </c>
      <c r="AQ13" s="172">
        <v>4</v>
      </c>
      <c r="AR13" s="172" t="s">
        <v>120</v>
      </c>
      <c r="AS13" s="172" t="s">
        <v>201</v>
      </c>
      <c r="AV13" s="277"/>
      <c r="AX13" s="172" t="s">
        <v>122</v>
      </c>
      <c r="AY13" s="172" t="s">
        <v>123</v>
      </c>
      <c r="BJ13" s="172" t="s">
        <v>124</v>
      </c>
      <c r="BK13" s="172" t="s">
        <v>125</v>
      </c>
      <c r="BT13" s="172" t="s">
        <v>126</v>
      </c>
      <c r="BU13" s="172" t="s">
        <v>126</v>
      </c>
      <c r="BV13" s="172" t="s">
        <v>520</v>
      </c>
      <c r="BW13" s="172" t="s">
        <v>128</v>
      </c>
      <c r="BX13" s="172" t="s">
        <v>145</v>
      </c>
      <c r="BY13" s="172" t="s">
        <v>146</v>
      </c>
      <c r="CD13" s="172" t="s">
        <v>131</v>
      </c>
      <c r="CE13" s="172" t="s">
        <v>132</v>
      </c>
      <c r="CF13" s="172" t="s">
        <v>133</v>
      </c>
      <c r="CJ13" s="172" t="s">
        <v>156</v>
      </c>
      <c r="CK13" s="172" t="s">
        <v>255</v>
      </c>
      <c r="CL13" s="172" t="s">
        <v>136</v>
      </c>
      <c r="CM13" s="172" t="s">
        <v>137</v>
      </c>
      <c r="CN13" s="172" t="s">
        <v>521</v>
      </c>
      <c r="CO13" s="172" t="s">
        <v>139</v>
      </c>
      <c r="CR13" s="172" t="s">
        <v>140</v>
      </c>
      <c r="CW13" s="278">
        <f t="shared" si="1"/>
        <v>31449.600000000002</v>
      </c>
      <c r="CX13" s="172">
        <f t="shared" si="2"/>
        <v>14875660.800000001</v>
      </c>
      <c r="DB13" s="172" t="str">
        <f t="shared" si="3"/>
        <v>B13-L8</v>
      </c>
    </row>
    <row r="14" spans="1:108" x14ac:dyDescent="0.3">
      <c r="A14" s="273" t="str">
        <f t="shared" si="0"/>
        <v>B6-L10</v>
      </c>
      <c r="B14" s="273" t="s">
        <v>100</v>
      </c>
      <c r="C14" s="273" t="s">
        <v>101</v>
      </c>
      <c r="D14" s="273" t="s">
        <v>522</v>
      </c>
      <c r="E14" s="273" t="s">
        <v>523</v>
      </c>
      <c r="F14" s="273" t="s">
        <v>405</v>
      </c>
      <c r="G14" s="273" t="s">
        <v>405</v>
      </c>
      <c r="H14" s="273" t="s">
        <v>427</v>
      </c>
      <c r="I14" s="172">
        <v>161</v>
      </c>
      <c r="J14" s="172" t="s">
        <v>524</v>
      </c>
      <c r="K14" s="172" t="s">
        <v>107</v>
      </c>
      <c r="L14" s="172" t="s">
        <v>108</v>
      </c>
      <c r="M14" s="172">
        <v>11</v>
      </c>
      <c r="N14" s="172" t="s">
        <v>109</v>
      </c>
      <c r="O14" s="172">
        <v>2</v>
      </c>
      <c r="P14" s="172" t="s">
        <v>110</v>
      </c>
      <c r="R14" s="172" t="s">
        <v>525</v>
      </c>
      <c r="S14" s="274">
        <v>534</v>
      </c>
      <c r="T14" s="275">
        <v>0</v>
      </c>
      <c r="U14" s="275"/>
      <c r="V14" s="273" t="s">
        <v>113</v>
      </c>
      <c r="W14" s="172" t="s">
        <v>114</v>
      </c>
      <c r="X14" s="172" t="s">
        <v>115</v>
      </c>
      <c r="AE14" s="276">
        <v>17493840</v>
      </c>
      <c r="AF14" s="172" t="s">
        <v>116</v>
      </c>
      <c r="AM14" s="172" t="s">
        <v>117</v>
      </c>
      <c r="AN14" s="172" t="s">
        <v>109</v>
      </c>
      <c r="AO14" s="172" t="s">
        <v>118</v>
      </c>
      <c r="AP14" s="172" t="s">
        <v>119</v>
      </c>
      <c r="AQ14" s="172">
        <v>4</v>
      </c>
      <c r="AR14" s="172" t="s">
        <v>120</v>
      </c>
      <c r="AS14" s="172" t="s">
        <v>262</v>
      </c>
      <c r="AV14" s="277"/>
      <c r="AX14" s="172" t="s">
        <v>122</v>
      </c>
      <c r="AY14" s="172" t="s">
        <v>526</v>
      </c>
      <c r="BJ14" s="172" t="s">
        <v>124</v>
      </c>
      <c r="BK14" s="172" t="s">
        <v>125</v>
      </c>
      <c r="BT14" s="172" t="s">
        <v>126</v>
      </c>
      <c r="BU14" s="172" t="s">
        <v>126</v>
      </c>
      <c r="BV14" s="172" t="s">
        <v>527</v>
      </c>
      <c r="BW14" s="172" t="s">
        <v>528</v>
      </c>
      <c r="BX14" s="172" t="s">
        <v>529</v>
      </c>
      <c r="BY14" s="172" t="s">
        <v>530</v>
      </c>
      <c r="CD14" s="172" t="s">
        <v>131</v>
      </c>
      <c r="CE14" s="172" t="s">
        <v>132</v>
      </c>
      <c r="CF14" s="172" t="s">
        <v>133</v>
      </c>
      <c r="CJ14" s="172" t="s">
        <v>228</v>
      </c>
      <c r="CK14" s="172" t="s">
        <v>229</v>
      </c>
      <c r="CL14" s="172" t="s">
        <v>136</v>
      </c>
      <c r="CM14" s="172" t="s">
        <v>137</v>
      </c>
      <c r="CN14" s="172" t="s">
        <v>531</v>
      </c>
      <c r="CO14" s="172" t="s">
        <v>139</v>
      </c>
      <c r="CR14" s="172" t="s">
        <v>140</v>
      </c>
      <c r="CW14" s="278">
        <f t="shared" si="1"/>
        <v>36691.200000000004</v>
      </c>
      <c r="CX14" s="172">
        <f t="shared" si="2"/>
        <v>19593100.800000001</v>
      </c>
      <c r="DB14" s="172" t="str">
        <f t="shared" si="3"/>
        <v>B6-L10</v>
      </c>
    </row>
    <row r="15" spans="1:108" x14ac:dyDescent="0.3">
      <c r="A15" s="273" t="str">
        <f t="shared" si="0"/>
        <v>B6-L11</v>
      </c>
      <c r="B15" s="273" t="s">
        <v>100</v>
      </c>
      <c r="C15" s="273" t="s">
        <v>101</v>
      </c>
      <c r="D15" s="273" t="s">
        <v>522</v>
      </c>
      <c r="E15" s="273" t="s">
        <v>523</v>
      </c>
      <c r="F15" s="273" t="s">
        <v>405</v>
      </c>
      <c r="G15" s="273" t="s">
        <v>405</v>
      </c>
      <c r="H15" s="273" t="s">
        <v>105</v>
      </c>
      <c r="I15" s="172">
        <v>162</v>
      </c>
      <c r="J15" s="172" t="s">
        <v>532</v>
      </c>
      <c r="K15" s="172" t="s">
        <v>107</v>
      </c>
      <c r="L15" s="172" t="s">
        <v>108</v>
      </c>
      <c r="M15" s="172">
        <v>11</v>
      </c>
      <c r="N15" s="172" t="s">
        <v>109</v>
      </c>
      <c r="O15" s="172">
        <v>2</v>
      </c>
      <c r="P15" s="172" t="s">
        <v>110</v>
      </c>
      <c r="R15" s="172" t="s">
        <v>533</v>
      </c>
      <c r="S15" s="274">
        <v>384</v>
      </c>
      <c r="T15" s="275">
        <v>0</v>
      </c>
      <c r="U15" s="275"/>
      <c r="V15" s="273" t="s">
        <v>113</v>
      </c>
      <c r="W15" s="172" t="s">
        <v>114</v>
      </c>
      <c r="X15" s="172" t="s">
        <v>115</v>
      </c>
      <c r="AE15" s="276">
        <v>10782720</v>
      </c>
      <c r="AF15" s="172" t="s">
        <v>116</v>
      </c>
      <c r="AM15" s="172" t="s">
        <v>117</v>
      </c>
      <c r="AN15" s="172" t="s">
        <v>109</v>
      </c>
      <c r="AO15" s="172" t="s">
        <v>118</v>
      </c>
      <c r="AP15" s="172" t="s">
        <v>119</v>
      </c>
      <c r="AQ15" s="172">
        <v>4</v>
      </c>
      <c r="AR15" s="172" t="s">
        <v>120</v>
      </c>
      <c r="AS15" s="172" t="s">
        <v>262</v>
      </c>
      <c r="AV15" s="277"/>
      <c r="AX15" s="172" t="s">
        <v>122</v>
      </c>
      <c r="AY15" s="172" t="s">
        <v>534</v>
      </c>
      <c r="BJ15" s="172" t="s">
        <v>124</v>
      </c>
      <c r="BK15" s="172" t="s">
        <v>125</v>
      </c>
      <c r="BT15" s="172" t="s">
        <v>126</v>
      </c>
      <c r="BU15" s="172" t="s">
        <v>126</v>
      </c>
      <c r="BV15" s="172" t="s">
        <v>535</v>
      </c>
      <c r="BW15" s="172" t="s">
        <v>536</v>
      </c>
      <c r="BX15" s="172" t="s">
        <v>537</v>
      </c>
      <c r="BY15" s="172" t="s">
        <v>538</v>
      </c>
      <c r="CD15" s="172" t="s">
        <v>131</v>
      </c>
      <c r="CE15" s="172" t="s">
        <v>132</v>
      </c>
      <c r="CF15" s="172" t="s">
        <v>133</v>
      </c>
      <c r="CJ15" s="172" t="s">
        <v>228</v>
      </c>
      <c r="CK15" s="172" t="s">
        <v>229</v>
      </c>
      <c r="CL15" s="172" t="s">
        <v>136</v>
      </c>
      <c r="CM15" s="172" t="s">
        <v>137</v>
      </c>
      <c r="CN15" s="172" t="s">
        <v>539</v>
      </c>
      <c r="CO15" s="172" t="s">
        <v>139</v>
      </c>
      <c r="CR15" s="172" t="s">
        <v>140</v>
      </c>
      <c r="CW15" s="278">
        <f t="shared" si="1"/>
        <v>31449.600000000002</v>
      </c>
      <c r="CX15" s="172">
        <f t="shared" si="2"/>
        <v>12076646.4</v>
      </c>
      <c r="DB15" s="172" t="str">
        <f t="shared" si="3"/>
        <v>B6-L11</v>
      </c>
    </row>
    <row r="16" spans="1:108" x14ac:dyDescent="0.3">
      <c r="A16" s="273" t="str">
        <f t="shared" si="0"/>
        <v>B6-L4</v>
      </c>
      <c r="B16" s="273" t="s">
        <v>100</v>
      </c>
      <c r="C16" s="273" t="s">
        <v>101</v>
      </c>
      <c r="D16" s="273" t="s">
        <v>522</v>
      </c>
      <c r="E16" s="273" t="s">
        <v>523</v>
      </c>
      <c r="F16" s="273" t="s">
        <v>405</v>
      </c>
      <c r="G16" s="273" t="s">
        <v>405</v>
      </c>
      <c r="H16" s="273" t="s">
        <v>197</v>
      </c>
      <c r="I16" s="172">
        <v>155</v>
      </c>
      <c r="J16" s="172" t="s">
        <v>540</v>
      </c>
      <c r="K16" s="172" t="s">
        <v>107</v>
      </c>
      <c r="L16" s="172" t="s">
        <v>108</v>
      </c>
      <c r="M16" s="172">
        <v>11</v>
      </c>
      <c r="N16" s="172" t="s">
        <v>109</v>
      </c>
      <c r="O16" s="172">
        <v>2</v>
      </c>
      <c r="P16" s="172" t="s">
        <v>110</v>
      </c>
      <c r="R16" s="172" t="s">
        <v>541</v>
      </c>
      <c r="S16" s="274">
        <v>656</v>
      </c>
      <c r="T16" s="275">
        <v>0</v>
      </c>
      <c r="U16" s="275"/>
      <c r="V16" s="273" t="s">
        <v>113</v>
      </c>
      <c r="W16" s="172" t="s">
        <v>114</v>
      </c>
      <c r="X16" s="172" t="s">
        <v>115</v>
      </c>
      <c r="AE16" s="276">
        <v>21490560</v>
      </c>
      <c r="AF16" s="172" t="s">
        <v>116</v>
      </c>
      <c r="AM16" s="172" t="s">
        <v>117</v>
      </c>
      <c r="AN16" s="172" t="s">
        <v>109</v>
      </c>
      <c r="AO16" s="172" t="s">
        <v>118</v>
      </c>
      <c r="AP16" s="172" t="s">
        <v>119</v>
      </c>
      <c r="AQ16" s="172">
        <v>4</v>
      </c>
      <c r="AR16" s="172" t="s">
        <v>120</v>
      </c>
      <c r="AS16" s="172" t="s">
        <v>262</v>
      </c>
      <c r="AV16" s="277"/>
      <c r="AX16" s="172" t="s">
        <v>122</v>
      </c>
      <c r="AY16" s="172" t="s">
        <v>123</v>
      </c>
      <c r="BJ16" s="172" t="s">
        <v>124</v>
      </c>
      <c r="BK16" s="172" t="s">
        <v>125</v>
      </c>
      <c r="BT16" s="172" t="s">
        <v>126</v>
      </c>
      <c r="BU16" s="172" t="s">
        <v>126</v>
      </c>
      <c r="BV16" s="172" t="s">
        <v>542</v>
      </c>
      <c r="BW16" s="172" t="s">
        <v>128</v>
      </c>
      <c r="BX16" s="172" t="s">
        <v>145</v>
      </c>
      <c r="BY16" s="172" t="s">
        <v>146</v>
      </c>
      <c r="CD16" s="172" t="s">
        <v>131</v>
      </c>
      <c r="CE16" s="172" t="s">
        <v>132</v>
      </c>
      <c r="CF16" s="172" t="s">
        <v>133</v>
      </c>
      <c r="CJ16" s="172" t="s">
        <v>228</v>
      </c>
      <c r="CK16" s="172" t="s">
        <v>229</v>
      </c>
      <c r="CL16" s="172" t="s">
        <v>136</v>
      </c>
      <c r="CM16" s="172" t="s">
        <v>137</v>
      </c>
      <c r="CN16" s="172" t="s">
        <v>543</v>
      </c>
      <c r="CO16" s="172" t="s">
        <v>139</v>
      </c>
      <c r="CR16" s="172" t="s">
        <v>140</v>
      </c>
      <c r="CW16" s="278">
        <f t="shared" si="1"/>
        <v>36691.200000000004</v>
      </c>
      <c r="CX16" s="172">
        <f t="shared" si="2"/>
        <v>24069427.200000003</v>
      </c>
      <c r="DB16" s="172" t="str">
        <f t="shared" si="3"/>
        <v>B6-L4</v>
      </c>
    </row>
    <row r="17" spans="1:106" x14ac:dyDescent="0.3">
      <c r="A17" s="273" t="str">
        <f t="shared" si="0"/>
        <v>B6-L5</v>
      </c>
      <c r="B17" s="273" t="s">
        <v>100</v>
      </c>
      <c r="C17" s="273" t="s">
        <v>101</v>
      </c>
      <c r="D17" s="273" t="s">
        <v>522</v>
      </c>
      <c r="E17" s="273" t="s">
        <v>523</v>
      </c>
      <c r="F17" s="273" t="s">
        <v>405</v>
      </c>
      <c r="G17" s="273" t="s">
        <v>405</v>
      </c>
      <c r="H17" s="273" t="s">
        <v>177</v>
      </c>
      <c r="I17" s="172">
        <v>156</v>
      </c>
      <c r="J17" s="172" t="s">
        <v>544</v>
      </c>
      <c r="K17" s="172" t="s">
        <v>107</v>
      </c>
      <c r="L17" s="172" t="s">
        <v>108</v>
      </c>
      <c r="M17" s="172">
        <v>11</v>
      </c>
      <c r="N17" s="172" t="s">
        <v>109</v>
      </c>
      <c r="O17" s="172">
        <v>2</v>
      </c>
      <c r="P17" s="172" t="s">
        <v>110</v>
      </c>
      <c r="R17" s="172" t="s">
        <v>545</v>
      </c>
      <c r="S17" s="274">
        <v>555</v>
      </c>
      <c r="T17" s="275">
        <v>0</v>
      </c>
      <c r="U17" s="275"/>
      <c r="V17" s="273" t="s">
        <v>113</v>
      </c>
      <c r="W17" s="172" t="s">
        <v>114</v>
      </c>
      <c r="X17" s="172" t="s">
        <v>115</v>
      </c>
      <c r="AE17" s="276">
        <v>14718600</v>
      </c>
      <c r="AF17" s="172" t="s">
        <v>116</v>
      </c>
      <c r="AM17" s="172" t="s">
        <v>117</v>
      </c>
      <c r="AN17" s="172" t="s">
        <v>109</v>
      </c>
      <c r="AO17" s="172" t="s">
        <v>118</v>
      </c>
      <c r="AP17" s="172" t="s">
        <v>119</v>
      </c>
      <c r="AQ17" s="172">
        <v>4</v>
      </c>
      <c r="AR17" s="172" t="s">
        <v>120</v>
      </c>
      <c r="AS17" s="172" t="s">
        <v>262</v>
      </c>
      <c r="AV17" s="277"/>
      <c r="AX17" s="172" t="s">
        <v>122</v>
      </c>
      <c r="AY17" s="172" t="s">
        <v>123</v>
      </c>
      <c r="BJ17" s="172" t="s">
        <v>124</v>
      </c>
      <c r="BK17" s="172" t="s">
        <v>125</v>
      </c>
      <c r="BT17" s="172" t="s">
        <v>126</v>
      </c>
      <c r="BU17" s="172" t="s">
        <v>126</v>
      </c>
      <c r="BV17" s="172" t="s">
        <v>254</v>
      </c>
      <c r="BW17" s="172" t="s">
        <v>128</v>
      </c>
      <c r="BX17" s="172" t="s">
        <v>145</v>
      </c>
      <c r="BY17" s="172" t="s">
        <v>146</v>
      </c>
      <c r="CD17" s="172" t="s">
        <v>131</v>
      </c>
      <c r="CE17" s="172" t="s">
        <v>132</v>
      </c>
      <c r="CF17" s="172" t="s">
        <v>133</v>
      </c>
      <c r="CJ17" s="172" t="s">
        <v>228</v>
      </c>
      <c r="CK17" s="172" t="s">
        <v>229</v>
      </c>
      <c r="CL17" s="172" t="s">
        <v>136</v>
      </c>
      <c r="CM17" s="172" t="s">
        <v>137</v>
      </c>
      <c r="CN17" s="172" t="s">
        <v>546</v>
      </c>
      <c r="CO17" s="172" t="s">
        <v>139</v>
      </c>
      <c r="CR17" s="172" t="s">
        <v>140</v>
      </c>
      <c r="CW17" s="278">
        <f t="shared" si="1"/>
        <v>29702.400000000005</v>
      </c>
      <c r="CX17" s="172">
        <f t="shared" si="2"/>
        <v>16484832.000000002</v>
      </c>
      <c r="DB17" s="172" t="str">
        <f t="shared" si="3"/>
        <v>B6-L5</v>
      </c>
    </row>
    <row r="18" spans="1:106" x14ac:dyDescent="0.3">
      <c r="A18" s="280" t="str">
        <f t="shared" si="0"/>
        <v>B10-L11</v>
      </c>
      <c r="B18" s="281" t="s">
        <v>100</v>
      </c>
      <c r="C18" s="281" t="s">
        <v>101</v>
      </c>
      <c r="D18" s="281" t="s">
        <v>522</v>
      </c>
      <c r="E18" s="281" t="s">
        <v>523</v>
      </c>
      <c r="F18" s="281" t="str">
        <f>G18</f>
        <v>B10</v>
      </c>
      <c r="G18" s="281" t="s">
        <v>471</v>
      </c>
      <c r="H18" s="281" t="s">
        <v>105</v>
      </c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>
        <v>573</v>
      </c>
      <c r="T18" s="281"/>
      <c r="U18" s="281"/>
      <c r="V18" s="281" t="s">
        <v>675</v>
      </c>
      <c r="W18" s="281"/>
      <c r="X18" s="281"/>
      <c r="Y18" s="281"/>
      <c r="Z18" s="281"/>
      <c r="AA18" s="281"/>
      <c r="AB18" s="281"/>
      <c r="AC18" s="281"/>
      <c r="AD18" s="281"/>
      <c r="AE18" s="276">
        <v>19665360</v>
      </c>
      <c r="DB18" s="172" t="str">
        <f t="shared" si="3"/>
        <v>B10-L11</v>
      </c>
    </row>
    <row r="19" spans="1:106" x14ac:dyDescent="0.3">
      <c r="A19" s="280" t="str">
        <f t="shared" si="0"/>
        <v>B10-L9</v>
      </c>
      <c r="B19" s="281" t="s">
        <v>100</v>
      </c>
      <c r="C19" s="281" t="s">
        <v>101</v>
      </c>
      <c r="D19" s="281" t="s">
        <v>522</v>
      </c>
      <c r="E19" s="281" t="s">
        <v>523</v>
      </c>
      <c r="F19" s="281" t="str">
        <f t="shared" ref="F19:F28" si="4">G19</f>
        <v>B10</v>
      </c>
      <c r="G19" s="281" t="s">
        <v>471</v>
      </c>
      <c r="H19" s="281" t="s">
        <v>148</v>
      </c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>
        <v>407</v>
      </c>
      <c r="T19" s="281"/>
      <c r="U19" s="281"/>
      <c r="V19" s="281" t="s">
        <v>675</v>
      </c>
      <c r="W19" s="281"/>
      <c r="X19" s="281"/>
      <c r="Y19" s="281"/>
      <c r="Z19" s="281"/>
      <c r="AA19" s="281"/>
      <c r="AB19" s="281"/>
      <c r="AC19" s="281"/>
      <c r="AD19" s="281"/>
      <c r="AE19" s="276">
        <v>12698400</v>
      </c>
      <c r="DB19" s="172" t="str">
        <f t="shared" si="3"/>
        <v>B10-L9</v>
      </c>
    </row>
    <row r="20" spans="1:106" x14ac:dyDescent="0.3">
      <c r="A20" s="282" t="str">
        <f t="shared" si="0"/>
        <v>B11-L10</v>
      </c>
      <c r="B20" s="283" t="s">
        <v>100</v>
      </c>
      <c r="C20" s="283" t="s">
        <v>101</v>
      </c>
      <c r="D20" s="283" t="s">
        <v>522</v>
      </c>
      <c r="E20" s="283" t="s">
        <v>523</v>
      </c>
      <c r="F20" s="283" t="str">
        <f t="shared" si="4"/>
        <v>B11</v>
      </c>
      <c r="G20" s="283" t="s">
        <v>495</v>
      </c>
      <c r="H20" s="283" t="s">
        <v>427</v>
      </c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76">
        <v>13759200</v>
      </c>
      <c r="DB20" s="172" t="str">
        <f t="shared" si="3"/>
        <v>B11-L10</v>
      </c>
    </row>
    <row r="21" spans="1:106" x14ac:dyDescent="0.3">
      <c r="A21" s="282" t="str">
        <f t="shared" si="0"/>
        <v>B11-L11</v>
      </c>
      <c r="B21" s="283" t="s">
        <v>100</v>
      </c>
      <c r="C21" s="283" t="s">
        <v>101</v>
      </c>
      <c r="D21" s="283" t="s">
        <v>522</v>
      </c>
      <c r="E21" s="283" t="s">
        <v>523</v>
      </c>
      <c r="F21" s="283" t="str">
        <f t="shared" si="4"/>
        <v>B11</v>
      </c>
      <c r="G21" s="283" t="s">
        <v>495</v>
      </c>
      <c r="H21" s="283" t="s">
        <v>105</v>
      </c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76">
        <v>18640440</v>
      </c>
      <c r="DB21" s="172" t="str">
        <f t="shared" si="3"/>
        <v>B11-L11</v>
      </c>
    </row>
    <row r="22" spans="1:106" x14ac:dyDescent="0.3">
      <c r="A22" s="282" t="str">
        <f t="shared" si="0"/>
        <v>B11-L12</v>
      </c>
      <c r="B22" s="283" t="s">
        <v>100</v>
      </c>
      <c r="C22" s="283" t="s">
        <v>101</v>
      </c>
      <c r="D22" s="283" t="s">
        <v>522</v>
      </c>
      <c r="E22" s="283" t="s">
        <v>523</v>
      </c>
      <c r="F22" s="283" t="str">
        <f t="shared" si="4"/>
        <v>B11</v>
      </c>
      <c r="G22" s="283" t="s">
        <v>495</v>
      </c>
      <c r="H22" s="283" t="s">
        <v>329</v>
      </c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76">
        <v>13816920</v>
      </c>
      <c r="DB22" s="172" t="str">
        <f t="shared" si="3"/>
        <v>B11-L12</v>
      </c>
    </row>
    <row r="23" spans="1:106" x14ac:dyDescent="0.3">
      <c r="A23" s="282" t="str">
        <f t="shared" si="0"/>
        <v>B11-L13</v>
      </c>
      <c r="B23" s="283" t="s">
        <v>100</v>
      </c>
      <c r="C23" s="283" t="s">
        <v>101</v>
      </c>
      <c r="D23" s="283" t="s">
        <v>522</v>
      </c>
      <c r="E23" s="283" t="s">
        <v>523</v>
      </c>
      <c r="F23" s="283" t="str">
        <f t="shared" si="4"/>
        <v>B11</v>
      </c>
      <c r="G23" s="283" t="s">
        <v>495</v>
      </c>
      <c r="H23" s="283" t="s">
        <v>218</v>
      </c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76">
        <v>13308360</v>
      </c>
      <c r="DB23" s="172" t="str">
        <f t="shared" si="3"/>
        <v>B11-L13</v>
      </c>
    </row>
    <row r="24" spans="1:106" x14ac:dyDescent="0.3">
      <c r="A24" s="282" t="str">
        <f t="shared" si="0"/>
        <v>B11-L14</v>
      </c>
      <c r="B24" s="283" t="s">
        <v>100</v>
      </c>
      <c r="C24" s="283" t="s">
        <v>101</v>
      </c>
      <c r="D24" s="283" t="s">
        <v>522</v>
      </c>
      <c r="E24" s="283" t="s">
        <v>523</v>
      </c>
      <c r="F24" s="283" t="str">
        <f t="shared" si="4"/>
        <v>B11</v>
      </c>
      <c r="G24" s="283" t="s">
        <v>495</v>
      </c>
      <c r="H24" s="283" t="s">
        <v>241</v>
      </c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76">
        <v>14508000</v>
      </c>
      <c r="DB24" s="172" t="str">
        <f t="shared" si="3"/>
        <v>B11-L14</v>
      </c>
    </row>
    <row r="25" spans="1:106" x14ac:dyDescent="0.3">
      <c r="A25" s="282" t="str">
        <f t="shared" si="0"/>
        <v>B11-L15</v>
      </c>
      <c r="B25" s="283" t="s">
        <v>100</v>
      </c>
      <c r="C25" s="283" t="s">
        <v>101</v>
      </c>
      <c r="D25" s="283" t="s">
        <v>522</v>
      </c>
      <c r="E25" s="283" t="s">
        <v>523</v>
      </c>
      <c r="F25" s="283" t="str">
        <f t="shared" si="4"/>
        <v>B11</v>
      </c>
      <c r="G25" s="283" t="s">
        <v>495</v>
      </c>
      <c r="H25" s="283" t="s">
        <v>380</v>
      </c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  <c r="AC25" s="283"/>
      <c r="AD25" s="283"/>
      <c r="AE25" s="276">
        <v>13509600</v>
      </c>
      <c r="DB25" s="172" t="str">
        <f t="shared" si="3"/>
        <v>B11-L15</v>
      </c>
    </row>
    <row r="26" spans="1:106" x14ac:dyDescent="0.3">
      <c r="A26" s="280" t="str">
        <f t="shared" si="0"/>
        <v>B11-L16</v>
      </c>
      <c r="B26" s="281" t="s">
        <v>100</v>
      </c>
      <c r="C26" s="281" t="s">
        <v>101</v>
      </c>
      <c r="D26" s="281" t="s">
        <v>522</v>
      </c>
      <c r="E26" s="281" t="s">
        <v>523</v>
      </c>
      <c r="F26" s="281" t="str">
        <f t="shared" si="4"/>
        <v>B11</v>
      </c>
      <c r="G26" s="281" t="s">
        <v>495</v>
      </c>
      <c r="H26" s="281" t="s">
        <v>292</v>
      </c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>
        <v>447</v>
      </c>
      <c r="T26" s="281"/>
      <c r="U26" s="281"/>
      <c r="V26" s="281" t="s">
        <v>675</v>
      </c>
      <c r="W26" s="281"/>
      <c r="X26" s="281"/>
      <c r="Y26" s="281"/>
      <c r="Z26" s="281"/>
      <c r="AA26" s="281"/>
      <c r="AB26" s="281"/>
      <c r="AC26" s="281"/>
      <c r="AD26" s="281"/>
      <c r="AE26" s="276">
        <v>15341040</v>
      </c>
      <c r="DB26" s="172" t="str">
        <f t="shared" si="3"/>
        <v>B11-L16</v>
      </c>
    </row>
    <row r="27" spans="1:106" x14ac:dyDescent="0.3">
      <c r="A27" s="280" t="str">
        <f t="shared" si="0"/>
        <v>B13-L4</v>
      </c>
      <c r="B27" s="281" t="s">
        <v>100</v>
      </c>
      <c r="C27" s="281" t="s">
        <v>101</v>
      </c>
      <c r="D27" s="281" t="s">
        <v>522</v>
      </c>
      <c r="E27" s="281" t="s">
        <v>523</v>
      </c>
      <c r="F27" s="281" t="str">
        <f t="shared" si="4"/>
        <v>B13</v>
      </c>
      <c r="G27" s="281" t="s">
        <v>510</v>
      </c>
      <c r="H27" s="281" t="s">
        <v>197</v>
      </c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>
        <v>522</v>
      </c>
      <c r="T27" s="281"/>
      <c r="U27" s="281"/>
      <c r="V27" s="281" t="s">
        <v>675</v>
      </c>
      <c r="W27" s="281"/>
      <c r="X27" s="281"/>
      <c r="Y27" s="281"/>
      <c r="Z27" s="281"/>
      <c r="AA27" s="281"/>
      <c r="AB27" s="281"/>
      <c r="AC27" s="281"/>
      <c r="AD27" s="281"/>
      <c r="AE27" s="276">
        <v>16286400</v>
      </c>
      <c r="DB27" s="172" t="str">
        <f t="shared" si="3"/>
        <v>B13-L4</v>
      </c>
    </row>
    <row r="28" spans="1:106" x14ac:dyDescent="0.3">
      <c r="A28" s="280" t="str">
        <f t="shared" si="0"/>
        <v>B13-L5</v>
      </c>
      <c r="B28" s="281" t="s">
        <v>100</v>
      </c>
      <c r="C28" s="281" t="s">
        <v>101</v>
      </c>
      <c r="D28" s="281" t="s">
        <v>522</v>
      </c>
      <c r="E28" s="281" t="s">
        <v>523</v>
      </c>
      <c r="F28" s="281" t="str">
        <f t="shared" si="4"/>
        <v>B13</v>
      </c>
      <c r="G28" s="281" t="s">
        <v>510</v>
      </c>
      <c r="H28" s="281" t="s">
        <v>177</v>
      </c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>
        <v>591</v>
      </c>
      <c r="T28" s="281"/>
      <c r="U28" s="281"/>
      <c r="V28" s="281" t="s">
        <v>675</v>
      </c>
      <c r="W28" s="281"/>
      <c r="X28" s="281"/>
      <c r="Y28" s="281"/>
      <c r="Z28" s="281"/>
      <c r="AA28" s="281"/>
      <c r="AB28" s="281"/>
      <c r="AC28" s="281"/>
      <c r="AD28" s="281"/>
      <c r="AE28" s="276">
        <v>15673320</v>
      </c>
      <c r="DB28" s="172" t="str">
        <f t="shared" si="3"/>
        <v>B13-L5</v>
      </c>
    </row>
  </sheetData>
  <conditionalFormatting sqref="AX2:AX17">
    <cfRule type="cellIs" dxfId="227" priority="1" stopIfTrue="1" operator="equal">
      <formula>"Available"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C000"/>
    <pageSetUpPr fitToPage="1"/>
  </sheetPr>
  <dimension ref="A1:H64"/>
  <sheetViews>
    <sheetView showGridLines="0" view="pageBreakPreview" zoomScale="47" zoomScaleNormal="100" zoomScaleSheetLayoutView="75" workbookViewId="0">
      <selection activeCell="B53" sqref="B53:F53"/>
    </sheetView>
  </sheetViews>
  <sheetFormatPr defaultColWidth="8.81640625" defaultRowHeight="18.5" x14ac:dyDescent="0.45"/>
  <cols>
    <col min="1" max="1" width="4" style="8" customWidth="1"/>
    <col min="2" max="2" width="32.1796875" style="8" customWidth="1"/>
    <col min="3" max="3" width="12.54296875" style="8" customWidth="1"/>
    <col min="4" max="4" width="29" style="8" customWidth="1"/>
    <col min="5" max="5" width="25.7265625" style="8" customWidth="1"/>
    <col min="6" max="6" width="21.7265625" style="8" customWidth="1"/>
    <col min="7" max="7" width="4.81640625" style="8" hidden="1" customWidth="1"/>
    <col min="8" max="16384" width="8.81640625" style="8"/>
  </cols>
  <sheetData>
    <row r="1" spans="2:6" x14ac:dyDescent="0.45">
      <c r="B1" s="11" t="s">
        <v>598</v>
      </c>
      <c r="C1" s="515">
        <f>Input!D4</f>
        <v>0</v>
      </c>
      <c r="D1" s="515"/>
    </row>
    <row r="2" spans="2:6" ht="19" thickBot="1" x14ac:dyDescent="0.5"/>
    <row r="3" spans="2:6" x14ac:dyDescent="0.45">
      <c r="B3" s="516" t="str">
        <f>"Brentville International - "&amp;Input!D7</f>
        <v>Brentville International - The Arborage</v>
      </c>
      <c r="C3" s="517"/>
      <c r="D3" s="518"/>
    </row>
    <row r="4" spans="2:6" x14ac:dyDescent="0.45">
      <c r="B4" s="519" t="str">
        <f>'Summary - All Clusters'!C5</f>
        <v>B-B2-L10</v>
      </c>
      <c r="C4" s="520"/>
      <c r="D4" s="521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00">
        <f>C5*10.76391</f>
        <v>1808.3368799999998</v>
      </c>
      <c r="F5" s="27"/>
    </row>
    <row r="6" spans="2:6" s="11" customFormat="1" x14ac:dyDescent="0.45">
      <c r="B6" s="32" t="s">
        <v>900</v>
      </c>
      <c r="C6" s="40"/>
      <c r="D6" s="203">
        <f>IF(AND(Input!$E$8="B-",Input!$D$7=Input!$H$3,OR(Input!D8=Input!D21,Input!D8=Input!D22,Input!D8=Input!D23,Input!D8=Input!D24,Input!D8=Input!D25,Input!D8=Input!D26,Input!D8=Input!D27,Input!D8=Input!D28,Input!D8=Input!D29,Input!D8=Input!D30,Input!D8=Input!D31,Input!D8=Input!D32,Input!D8=Input!D33,Input!D8=Input!D34,Input!D8=Input!D35,Input!D8=Input!D36,Input!D8=Input!D37,Input!D8=Input!D38,Input!D8=Input!D39,Input!D8=Input!D40,Input!D8=Input!D41,Input!D8=Input!D42,Input!D8=Input!D43,Input!D8=Input!D44,Input!D8=Input!D45,Input!D8=Input!D46,Input!D8=Input!D47,Input!D8=Input!D48,Input!D8=Input!D49,Input!D8=Input!D50,Input!D8=Input!D51,Input!D8=Input!D52,Input!D8=Input!D53,Input!D8=Input!D54,Input!D8=Input!D55,Input!D8=Input!D56,Input!D8=Input!D57,Input!D8=Input!D58,Input!D8=Input!D59,Input!D8=Input!D60,Input!D8=Input!D61,Input!D8=Input!D62)),"",Input!D12)</f>
        <v>5641104</v>
      </c>
    </row>
    <row r="7" spans="2:6" s="11" customFormat="1" hidden="1" x14ac:dyDescent="0.45">
      <c r="B7" s="424" t="s">
        <v>899</v>
      </c>
      <c r="C7" s="425"/>
      <c r="D7" s="426"/>
      <c r="E7" s="423"/>
    </row>
    <row r="8" spans="2:6" s="11" customFormat="1" hidden="1" x14ac:dyDescent="0.45">
      <c r="B8" s="32" t="s">
        <v>584</v>
      </c>
      <c r="C8" s="40"/>
      <c r="D8" s="201"/>
    </row>
    <row r="9" spans="2:6" x14ac:dyDescent="0.45">
      <c r="B9" s="131" t="str">
        <f>'Summary - All Clusters'!C19</f>
        <v>Add VAT:</v>
      </c>
      <c r="C9" s="38"/>
      <c r="D9" s="203">
        <f>IF(D6&lt;&gt;"",D6*12%,"-")</f>
        <v>676932.48</v>
      </c>
      <c r="E9" s="18"/>
    </row>
    <row r="10" spans="2:6" x14ac:dyDescent="0.45">
      <c r="B10" s="131" t="str">
        <f>'Summary - All Clusters'!C20</f>
        <v>Add Other Charges:</v>
      </c>
      <c r="C10" s="38"/>
      <c r="D10" s="203">
        <f>IF(D6&lt;&gt;"",D6*4%,"-")</f>
        <v>225644.16</v>
      </c>
      <c r="E10" s="18"/>
      <c r="F10" s="18"/>
    </row>
    <row r="11" spans="2:6" x14ac:dyDescent="0.45">
      <c r="B11" s="131" t="s">
        <v>671</v>
      </c>
      <c r="C11" s="38"/>
      <c r="D11" s="34">
        <f>'Summary - All Clusters'!E130</f>
        <v>0</v>
      </c>
    </row>
    <row r="12" spans="2:6" x14ac:dyDescent="0.45">
      <c r="B12" s="424" t="s">
        <v>672</v>
      </c>
      <c r="C12" s="425"/>
      <c r="D12" s="437">
        <f>'Summary - All Clusters'!E131</f>
        <v>0</v>
      </c>
    </row>
    <row r="13" spans="2:6" x14ac:dyDescent="0.45">
      <c r="B13" s="424" t="s">
        <v>932</v>
      </c>
      <c r="C13" s="428"/>
      <c r="D13" s="429">
        <f>IF(C18="PAYMENT TERM NOT AVAILABLE FOR THIS PROPERTY",0,25000)</f>
        <v>25000</v>
      </c>
    </row>
    <row r="14" spans="2:6" s="11" customFormat="1" ht="19" thickBot="1" x14ac:dyDescent="0.5">
      <c r="B14" s="33" t="str">
        <f>'Summary - All Clusters'!C24</f>
        <v>Total Contract Price:</v>
      </c>
      <c r="C14" s="41"/>
      <c r="D14" s="204">
        <f>IF(D6&lt;&gt;"",ROUND(D6+D9+D10+D11-D12-D13,-2),"-")</f>
        <v>6518700</v>
      </c>
      <c r="E14" s="19"/>
    </row>
    <row r="15" spans="2:6" x14ac:dyDescent="0.45">
      <c r="B15" s="42" t="str">
        <f>'Summary - All Clusters'!B8</f>
        <v>Computation generated on:</v>
      </c>
      <c r="C15" s="10">
        <f ca="1">'Summary - All Clusters'!C8</f>
        <v>44061</v>
      </c>
    </row>
    <row r="16" spans="2:6" x14ac:dyDescent="0.45">
      <c r="B16" s="43" t="s">
        <v>599</v>
      </c>
    </row>
    <row r="17" spans="2:8" ht="19" thickBot="1" x14ac:dyDescent="0.5"/>
    <row r="18" spans="2:8" x14ac:dyDescent="0.45">
      <c r="C18" s="522" t="str">
        <f>IF(AND(Input!$E$8="B-",Input!$D$7=Input!$H$3,OR(Input!D8=Input!D21,Input!D8=Input!D22,Input!D8=Input!D23,Input!D8=Input!D24,Input!D8=Input!D25,Input!D8=Input!D26,Input!D8=Input!D27,Input!D8=Input!D28,Input!D8=Input!D29,Input!D8=Input!D30,Input!D8=Input!D31,Input!D8=Input!D32,Input!D8=Input!D33,Input!D8=Input!D34,Input!D8=Input!D35,Input!D8=Input!D36,Input!D8=Input!D37,Input!D8=Input!D38,Input!D8=Input!D39,Input!D8=Input!D40,Input!D8=Input!D41,Input!D8=Input!D42,Input!D8=Input!D43,Input!D8=Input!D44,Input!D8=Input!D45,Input!D8=Input!D46,Input!D8=Input!D47,Input!D8=Input!D48,Input!D8=Input!D49,Input!D8=Input!D50,Input!D8=Input!D51,Input!D8=Input!D52,Input!D8=Input!D53,Input!D8=Input!D54,Input!D8=Input!D55,Input!D8=Input!D56,Input!D8=Input!D57,Input!D8=Input!D58,Input!D8=Input!D59,Input!D8=Input!D60,Input!D8=Input!D61,Input!D8=Input!D62)),"PAYMENT TERM NOT AVAILABLE FOR THIS PROPERTY","10% Downpayment / 40% over 24 months / 50% Lumpsum")</f>
        <v>10% Downpayment / 40% over 24 months / 50% Lumpsum</v>
      </c>
      <c r="D18" s="523"/>
      <c r="E18" s="524"/>
    </row>
    <row r="19" spans="2:8" x14ac:dyDescent="0.45">
      <c r="C19" s="525" t="s">
        <v>600</v>
      </c>
      <c r="D19" s="526"/>
      <c r="E19" s="46" t="s">
        <v>601</v>
      </c>
    </row>
    <row r="20" spans="2:8" x14ac:dyDescent="0.45">
      <c r="C20" s="529">
        <f ca="1">C15</f>
        <v>44061</v>
      </c>
      <c r="D20" s="530"/>
      <c r="E20" s="47">
        <f>IF(C18="PAYMENT TERM NOT AVAILABLE FOR THIS PROPERTY",0,25000)</f>
        <v>25000</v>
      </c>
      <c r="F20" s="474" t="s">
        <v>609</v>
      </c>
      <c r="G20" s="475"/>
      <c r="H20" s="475"/>
    </row>
    <row r="21" spans="2:8" x14ac:dyDescent="0.45">
      <c r="C21" s="529">
        <f ca="1">EDATE(C20,1)</f>
        <v>44092</v>
      </c>
      <c r="D21" s="530"/>
      <c r="E21" s="47">
        <f>IF($C$18="PAYMENT TERM NOT AVAILABLE FOR THIS PROPERTY",0,((D14*10%)-E20))</f>
        <v>626870</v>
      </c>
      <c r="F21" s="474"/>
      <c r="G21" s="475"/>
      <c r="H21" s="475"/>
    </row>
    <row r="22" spans="2:8" x14ac:dyDescent="0.45">
      <c r="B22" s="250"/>
      <c r="C22" s="529">
        <f t="shared" ref="C22:C46" ca="1" si="0">EDATE(C21,1)</f>
        <v>44122</v>
      </c>
      <c r="D22" s="530"/>
      <c r="E22" s="47">
        <f>IF($C$18="PAYMENT TERM NOT AVAILABLE FOR THIS PROPERTY",0,((D14*40%)/24))</f>
        <v>108645</v>
      </c>
      <c r="F22" s="13"/>
    </row>
    <row r="23" spans="2:8" x14ac:dyDescent="0.45">
      <c r="B23" s="250"/>
      <c r="C23" s="529">
        <f t="shared" ca="1" si="0"/>
        <v>44153</v>
      </c>
      <c r="D23" s="530"/>
      <c r="E23" s="47">
        <f>IF($C$18="PAYMENT TERM NOT AVAILABLE FOR THIS PROPERTY",0,(E22))</f>
        <v>108645</v>
      </c>
      <c r="F23" s="13"/>
    </row>
    <row r="24" spans="2:8" x14ac:dyDescent="0.45">
      <c r="B24" s="250"/>
      <c r="C24" s="529">
        <f t="shared" ca="1" si="0"/>
        <v>44183</v>
      </c>
      <c r="D24" s="530"/>
      <c r="E24" s="47">
        <f t="shared" ref="E24:E45" si="1">IF($C$18="PAYMENT TERM NOT AVAILABLE FOR THIS PROPERTY",0,(E23))</f>
        <v>108645</v>
      </c>
      <c r="F24" s="13"/>
    </row>
    <row r="25" spans="2:8" x14ac:dyDescent="0.45">
      <c r="B25" s="250"/>
      <c r="C25" s="529">
        <f t="shared" ca="1" si="0"/>
        <v>44214</v>
      </c>
      <c r="D25" s="530"/>
      <c r="E25" s="47">
        <f t="shared" si="1"/>
        <v>108645</v>
      </c>
      <c r="F25" s="13"/>
    </row>
    <row r="26" spans="2:8" x14ac:dyDescent="0.45">
      <c r="B26" s="250"/>
      <c r="C26" s="529">
        <f t="shared" ca="1" si="0"/>
        <v>44245</v>
      </c>
      <c r="D26" s="530"/>
      <c r="E26" s="47">
        <f t="shared" si="1"/>
        <v>108645</v>
      </c>
      <c r="F26" s="13"/>
    </row>
    <row r="27" spans="2:8" x14ac:dyDescent="0.45">
      <c r="B27" s="250"/>
      <c r="C27" s="529">
        <f t="shared" ca="1" si="0"/>
        <v>44273</v>
      </c>
      <c r="D27" s="530"/>
      <c r="E27" s="47">
        <f t="shared" si="1"/>
        <v>108645</v>
      </c>
      <c r="F27" s="13"/>
    </row>
    <row r="28" spans="2:8" x14ac:dyDescent="0.45">
      <c r="B28" s="250"/>
      <c r="C28" s="529">
        <f t="shared" ca="1" si="0"/>
        <v>44304</v>
      </c>
      <c r="D28" s="530"/>
      <c r="E28" s="47">
        <f t="shared" si="1"/>
        <v>108645</v>
      </c>
      <c r="F28" s="13"/>
    </row>
    <row r="29" spans="2:8" x14ac:dyDescent="0.45">
      <c r="B29" s="250"/>
      <c r="C29" s="529">
        <f t="shared" ca="1" si="0"/>
        <v>44334</v>
      </c>
      <c r="D29" s="530"/>
      <c r="E29" s="47">
        <f t="shared" si="1"/>
        <v>108645</v>
      </c>
      <c r="F29" s="13"/>
    </row>
    <row r="30" spans="2:8" x14ac:dyDescent="0.45">
      <c r="B30" s="250"/>
      <c r="C30" s="529">
        <f t="shared" ca="1" si="0"/>
        <v>44365</v>
      </c>
      <c r="D30" s="530"/>
      <c r="E30" s="47">
        <f t="shared" si="1"/>
        <v>108645</v>
      </c>
      <c r="F30" s="13"/>
    </row>
    <row r="31" spans="2:8" x14ac:dyDescent="0.45">
      <c r="B31" s="250"/>
      <c r="C31" s="529">
        <f t="shared" ca="1" si="0"/>
        <v>44395</v>
      </c>
      <c r="D31" s="530"/>
      <c r="E31" s="47">
        <f t="shared" si="1"/>
        <v>108645</v>
      </c>
      <c r="F31" s="13"/>
    </row>
    <row r="32" spans="2:8" x14ac:dyDescent="0.45">
      <c r="B32" s="250"/>
      <c r="C32" s="529">
        <f t="shared" ca="1" si="0"/>
        <v>44426</v>
      </c>
      <c r="D32" s="530"/>
      <c r="E32" s="47">
        <f t="shared" si="1"/>
        <v>108645</v>
      </c>
      <c r="F32" s="13"/>
    </row>
    <row r="33" spans="2:6" x14ac:dyDescent="0.45">
      <c r="B33" s="250"/>
      <c r="C33" s="529">
        <f t="shared" ca="1" si="0"/>
        <v>44457</v>
      </c>
      <c r="D33" s="530"/>
      <c r="E33" s="47">
        <f t="shared" si="1"/>
        <v>108645</v>
      </c>
      <c r="F33" s="13"/>
    </row>
    <row r="34" spans="2:6" x14ac:dyDescent="0.45">
      <c r="B34" s="250"/>
      <c r="C34" s="529">
        <f t="shared" ca="1" si="0"/>
        <v>44487</v>
      </c>
      <c r="D34" s="530"/>
      <c r="E34" s="47">
        <f t="shared" si="1"/>
        <v>108645</v>
      </c>
      <c r="F34" s="13"/>
    </row>
    <row r="35" spans="2:6" x14ac:dyDescent="0.45">
      <c r="B35" s="250"/>
      <c r="C35" s="529">
        <f t="shared" ca="1" si="0"/>
        <v>44518</v>
      </c>
      <c r="D35" s="530"/>
      <c r="E35" s="47">
        <f t="shared" si="1"/>
        <v>108645</v>
      </c>
      <c r="F35" s="13"/>
    </row>
    <row r="36" spans="2:6" x14ac:dyDescent="0.45">
      <c r="B36" s="250"/>
      <c r="C36" s="529">
        <f t="shared" ca="1" si="0"/>
        <v>44548</v>
      </c>
      <c r="D36" s="530"/>
      <c r="E36" s="47">
        <f t="shared" si="1"/>
        <v>108645</v>
      </c>
      <c r="F36" s="13"/>
    </row>
    <row r="37" spans="2:6" x14ac:dyDescent="0.45">
      <c r="B37" s="250"/>
      <c r="C37" s="529">
        <f t="shared" ca="1" si="0"/>
        <v>44579</v>
      </c>
      <c r="D37" s="530"/>
      <c r="E37" s="47">
        <f t="shared" si="1"/>
        <v>108645</v>
      </c>
      <c r="F37" s="13"/>
    </row>
    <row r="38" spans="2:6" x14ac:dyDescent="0.45">
      <c r="B38" s="250"/>
      <c r="C38" s="529">
        <f t="shared" ca="1" si="0"/>
        <v>44610</v>
      </c>
      <c r="D38" s="530"/>
      <c r="E38" s="47">
        <f t="shared" si="1"/>
        <v>108645</v>
      </c>
      <c r="F38" s="13"/>
    </row>
    <row r="39" spans="2:6" x14ac:dyDescent="0.45">
      <c r="B39" s="250"/>
      <c r="C39" s="529">
        <f t="shared" ca="1" si="0"/>
        <v>44638</v>
      </c>
      <c r="D39" s="530"/>
      <c r="E39" s="47">
        <f t="shared" si="1"/>
        <v>108645</v>
      </c>
      <c r="F39" s="13"/>
    </row>
    <row r="40" spans="2:6" x14ac:dyDescent="0.45">
      <c r="B40" s="250"/>
      <c r="C40" s="529">
        <f t="shared" ca="1" si="0"/>
        <v>44669</v>
      </c>
      <c r="D40" s="530"/>
      <c r="E40" s="47">
        <f t="shared" si="1"/>
        <v>108645</v>
      </c>
      <c r="F40" s="13"/>
    </row>
    <row r="41" spans="2:6" x14ac:dyDescent="0.45">
      <c r="B41" s="250"/>
      <c r="C41" s="529">
        <f t="shared" ca="1" si="0"/>
        <v>44699</v>
      </c>
      <c r="D41" s="530"/>
      <c r="E41" s="47">
        <f t="shared" si="1"/>
        <v>108645</v>
      </c>
      <c r="F41" s="13"/>
    </row>
    <row r="42" spans="2:6" x14ac:dyDescent="0.45">
      <c r="B42" s="250"/>
      <c r="C42" s="529">
        <f t="shared" ca="1" si="0"/>
        <v>44730</v>
      </c>
      <c r="D42" s="530"/>
      <c r="E42" s="47">
        <f t="shared" si="1"/>
        <v>108645</v>
      </c>
      <c r="F42" s="13"/>
    </row>
    <row r="43" spans="2:6" x14ac:dyDescent="0.45">
      <c r="B43" s="250"/>
      <c r="C43" s="529">
        <f t="shared" ca="1" si="0"/>
        <v>44760</v>
      </c>
      <c r="D43" s="530"/>
      <c r="E43" s="47">
        <f t="shared" si="1"/>
        <v>108645</v>
      </c>
      <c r="F43" s="13"/>
    </row>
    <row r="44" spans="2:6" x14ac:dyDescent="0.45">
      <c r="B44" s="250"/>
      <c r="C44" s="529">
        <f t="shared" ca="1" si="0"/>
        <v>44791</v>
      </c>
      <c r="D44" s="530"/>
      <c r="E44" s="47">
        <f t="shared" si="1"/>
        <v>108645</v>
      </c>
      <c r="F44" s="13"/>
    </row>
    <row r="45" spans="2:6" x14ac:dyDescent="0.45">
      <c r="B45" s="250"/>
      <c r="C45" s="529">
        <f t="shared" ca="1" si="0"/>
        <v>44822</v>
      </c>
      <c r="D45" s="530"/>
      <c r="E45" s="47">
        <f t="shared" si="1"/>
        <v>108645</v>
      </c>
      <c r="F45" s="13"/>
    </row>
    <row r="46" spans="2:6" ht="19" thickBot="1" x14ac:dyDescent="0.5">
      <c r="B46" s="250"/>
      <c r="C46" s="527">
        <f t="shared" ca="1" si="0"/>
        <v>44852</v>
      </c>
      <c r="D46" s="528"/>
      <c r="E46" s="48">
        <f>IF(C18="PAYMENT TERM NOT AVAILABLE FOR THIS PROPERTY",0,((D14-SUM(E20:E45))))</f>
        <v>3259350</v>
      </c>
      <c r="F46" s="13"/>
    </row>
    <row r="47" spans="2:6" x14ac:dyDescent="0.45">
      <c r="B47" s="250"/>
      <c r="F47" s="13"/>
    </row>
    <row r="48" spans="2:6" x14ac:dyDescent="0.45">
      <c r="C48" s="244"/>
      <c r="D48" s="244"/>
      <c r="E48" s="245"/>
      <c r="F48" s="13"/>
    </row>
    <row r="49" spans="1:7" ht="37.5" customHeight="1" x14ac:dyDescent="0.45">
      <c r="B49" s="513" t="s">
        <v>608</v>
      </c>
      <c r="C49" s="513"/>
      <c r="D49" s="513"/>
      <c r="E49" s="513"/>
      <c r="F49" s="513"/>
      <c r="G49" s="513"/>
    </row>
    <row r="50" spans="1:7" ht="37.5" customHeight="1" x14ac:dyDescent="0.45">
      <c r="B50" s="513" t="s">
        <v>602</v>
      </c>
      <c r="C50" s="513"/>
      <c r="D50" s="513"/>
      <c r="E50" s="513"/>
      <c r="F50" s="513"/>
      <c r="G50" s="513"/>
    </row>
    <row r="51" spans="1:7" ht="37.5" customHeight="1" x14ac:dyDescent="0.45">
      <c r="B51" s="513" t="s">
        <v>603</v>
      </c>
      <c r="C51" s="513"/>
      <c r="D51" s="513"/>
      <c r="E51" s="513"/>
      <c r="F51" s="513"/>
      <c r="G51" s="513"/>
    </row>
    <row r="52" spans="1:7" ht="18.649999999999999" customHeight="1" x14ac:dyDescent="0.45">
      <c r="A52" s="11"/>
      <c r="B52" s="510" t="s">
        <v>940</v>
      </c>
      <c r="C52" s="510"/>
      <c r="D52" s="510"/>
      <c r="E52" s="510"/>
      <c r="F52" s="510"/>
    </row>
    <row r="53" spans="1:7" ht="18.649999999999999" customHeight="1" x14ac:dyDescent="0.45">
      <c r="A53" s="11"/>
      <c r="B53" s="510" t="s">
        <v>933</v>
      </c>
      <c r="C53" s="510"/>
      <c r="D53" s="510"/>
      <c r="E53" s="510"/>
      <c r="F53" s="510"/>
    </row>
    <row r="54" spans="1:7" x14ac:dyDescent="0.45">
      <c r="A54" s="11"/>
      <c r="B54" s="487" t="s">
        <v>936</v>
      </c>
      <c r="C54" s="487"/>
      <c r="D54" s="487"/>
      <c r="E54" s="487"/>
      <c r="F54" s="487"/>
    </row>
    <row r="55" spans="1:7" x14ac:dyDescent="0.45">
      <c r="A55" s="11"/>
      <c r="B55" s="486" t="s">
        <v>934</v>
      </c>
      <c r="C55" s="484"/>
      <c r="D55" s="484"/>
      <c r="E55" s="484"/>
      <c r="F55" s="484"/>
    </row>
    <row r="56" spans="1:7" x14ac:dyDescent="0.45">
      <c r="B56" s="430"/>
      <c r="C56" s="430"/>
      <c r="D56" s="430"/>
      <c r="E56" s="430"/>
      <c r="F56" s="430"/>
    </row>
    <row r="57" spans="1:7" s="51" customFormat="1" x14ac:dyDescent="0.45">
      <c r="B57" s="165" t="s">
        <v>605</v>
      </c>
      <c r="C57" s="165"/>
      <c r="D57" s="165" t="s">
        <v>606</v>
      </c>
    </row>
    <row r="58" spans="1:7" s="51" customFormat="1" x14ac:dyDescent="0.45"/>
    <row r="59" spans="1:7" ht="19" thickBot="1" x14ac:dyDescent="0.5">
      <c r="B59" s="49"/>
      <c r="D59" s="514"/>
      <c r="E59" s="514"/>
    </row>
    <row r="60" spans="1:7" x14ac:dyDescent="0.45">
      <c r="D60" s="50"/>
    </row>
    <row r="61" spans="1:7" s="51" customFormat="1" x14ac:dyDescent="0.45">
      <c r="B61" s="165" t="s">
        <v>607</v>
      </c>
    </row>
    <row r="62" spans="1:7" s="51" customFormat="1" x14ac:dyDescent="0.45"/>
    <row r="63" spans="1:7" ht="19" thickBot="1" x14ac:dyDescent="0.5">
      <c r="B63" s="49"/>
    </row>
    <row r="64" spans="1:7" x14ac:dyDescent="0.45">
      <c r="B64" s="8">
        <f>Input!D6</f>
        <v>0</v>
      </c>
    </row>
  </sheetData>
  <sheetProtection algorithmName="SHA-512" hashValue="y0tC0RgShzThVYTN2PJN3R5gTTsapaYVnq7EHAHRiAd+L794wgGz3U7L6w7LL/eSlCVROCINkGAVZKRDPax7lg==" saltValue="3spNi1ym6CKma+XxtxjuIw==" spinCount="100000" sheet="1" objects="1" scenarios="1"/>
  <mergeCells count="38">
    <mergeCell ref="B51:G51"/>
    <mergeCell ref="C46:D46"/>
    <mergeCell ref="B52:F52"/>
    <mergeCell ref="D59:E59"/>
    <mergeCell ref="C23:D23"/>
    <mergeCell ref="C24:D24"/>
    <mergeCell ref="C25:D25"/>
    <mergeCell ref="C26:D26"/>
    <mergeCell ref="C27:D27"/>
    <mergeCell ref="C28:D28"/>
    <mergeCell ref="C29:D29"/>
    <mergeCell ref="C30:D30"/>
    <mergeCell ref="C35:D35"/>
    <mergeCell ref="C36:D36"/>
    <mergeCell ref="C37:D37"/>
    <mergeCell ref="C38:D38"/>
    <mergeCell ref="C39:D39"/>
    <mergeCell ref="C1:D1"/>
    <mergeCell ref="B3:D3"/>
    <mergeCell ref="B4:D4"/>
    <mergeCell ref="C18:E18"/>
    <mergeCell ref="C21:D21"/>
    <mergeCell ref="B53:F53"/>
    <mergeCell ref="C20:D20"/>
    <mergeCell ref="C41:D41"/>
    <mergeCell ref="C22:D22"/>
    <mergeCell ref="C19:D19"/>
    <mergeCell ref="B49:G49"/>
    <mergeCell ref="B50:G50"/>
    <mergeCell ref="C31:D31"/>
    <mergeCell ref="C32:D32"/>
    <mergeCell ref="C33:D33"/>
    <mergeCell ref="C34:D34"/>
    <mergeCell ref="C40:D40"/>
    <mergeCell ref="C42:D42"/>
    <mergeCell ref="C43:D43"/>
    <mergeCell ref="C44:D44"/>
    <mergeCell ref="C45:D45"/>
  </mergeCells>
  <conditionalFormatting sqref="B64">
    <cfRule type="expression" dxfId="58" priority="6">
      <formula>$B$64=0</formula>
    </cfRule>
  </conditionalFormatting>
  <conditionalFormatting sqref="C5">
    <cfRule type="expression" dxfId="57" priority="4">
      <formula>$C$5=0</formula>
    </cfRule>
  </conditionalFormatting>
  <conditionalFormatting sqref="D5">
    <cfRule type="expression" dxfId="56" priority="3">
      <formula>$D$5=0</formula>
    </cfRule>
  </conditionalFormatting>
  <conditionalFormatting sqref="D60">
    <cfRule type="expression" dxfId="55" priority="46">
      <formula>#REF!=0</formula>
    </cfRule>
  </conditionalFormatting>
  <pageMargins left="0.7" right="0.7" top="0.75" bottom="0.75" header="0.3" footer="0.3"/>
  <pageSetup scale="5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0.79992065187536243"/>
    <pageSetUpPr fitToPage="1"/>
  </sheetPr>
  <dimension ref="B1:H43"/>
  <sheetViews>
    <sheetView showGridLines="0" view="pageBreakPreview" zoomScale="47" zoomScaleNormal="100" zoomScaleSheetLayoutView="75" workbookViewId="0">
      <selection activeCell="B28" sqref="B28:E28"/>
    </sheetView>
  </sheetViews>
  <sheetFormatPr defaultColWidth="8.81640625" defaultRowHeight="18.5" x14ac:dyDescent="0.45"/>
  <cols>
    <col min="1" max="1" width="4" style="8" customWidth="1"/>
    <col min="2" max="2" width="31.7265625" style="8" customWidth="1"/>
    <col min="3" max="3" width="22.7265625" style="8" customWidth="1"/>
    <col min="4" max="4" width="19.7265625" style="8" customWidth="1"/>
    <col min="5" max="5" width="21.453125" style="8" customWidth="1"/>
    <col min="6" max="6" width="28.453125" style="8" customWidth="1"/>
    <col min="7" max="16384" width="8.81640625" style="8"/>
  </cols>
  <sheetData>
    <row r="1" spans="2:6" x14ac:dyDescent="0.45">
      <c r="B1" s="11" t="s">
        <v>598</v>
      </c>
      <c r="C1" s="515">
        <f>Input!D4</f>
        <v>0</v>
      </c>
      <c r="D1" s="515"/>
    </row>
    <row r="2" spans="2:6" ht="9" customHeight="1" thickBot="1" x14ac:dyDescent="0.5"/>
    <row r="3" spans="2:6" x14ac:dyDescent="0.45">
      <c r="B3" s="516" t="str">
        <f>"Brentville International - "&amp;Input!D7</f>
        <v>Brentville International - The Arborage</v>
      </c>
      <c r="C3" s="517"/>
      <c r="D3" s="518"/>
    </row>
    <row r="4" spans="2:6" x14ac:dyDescent="0.45">
      <c r="B4" s="519" t="str">
        <f>'Summary - All Clusters'!C5</f>
        <v>B-B2-L10</v>
      </c>
      <c r="C4" s="520"/>
      <c r="D4" s="521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00">
        <f>C5*10.76391</f>
        <v>1808.3368799999998</v>
      </c>
      <c r="F5" s="27"/>
    </row>
    <row r="6" spans="2:6" s="11" customFormat="1" x14ac:dyDescent="0.45">
      <c r="B6" s="32" t="s">
        <v>900</v>
      </c>
      <c r="C6" s="40"/>
      <c r="D6" s="201">
        <f>'Summary - All Clusters'!E14</f>
        <v>0</v>
      </c>
    </row>
    <row r="7" spans="2:6" s="23" customFormat="1" x14ac:dyDescent="0.45">
      <c r="B7" s="424" t="str">
        <f>'Summary - All Clusters'!C15</f>
        <v>Less 9% Discount:</v>
      </c>
      <c r="C7" s="425"/>
      <c r="D7" s="426">
        <f>D6*9%</f>
        <v>0</v>
      </c>
    </row>
    <row r="8" spans="2:6" s="11" customFormat="1" hidden="1" x14ac:dyDescent="0.45">
      <c r="B8" s="32" t="s">
        <v>902</v>
      </c>
      <c r="C8" s="40"/>
      <c r="D8" s="201">
        <f>D6-D7</f>
        <v>0</v>
      </c>
    </row>
    <row r="9" spans="2:6" s="23" customFormat="1" hidden="1" x14ac:dyDescent="0.45">
      <c r="B9" s="424" t="s">
        <v>899</v>
      </c>
      <c r="C9" s="425"/>
      <c r="D9" s="426"/>
      <c r="E9" s="423"/>
    </row>
    <row r="10" spans="2:6" s="11" customFormat="1" x14ac:dyDescent="0.45">
      <c r="B10" s="32" t="s">
        <v>584</v>
      </c>
      <c r="C10" s="40"/>
      <c r="D10" s="201">
        <f>D8-D9</f>
        <v>0</v>
      </c>
    </row>
    <row r="11" spans="2:6" x14ac:dyDescent="0.45">
      <c r="B11" s="131" t="str">
        <f>'Summary - All Clusters'!C19</f>
        <v>Add VAT:</v>
      </c>
      <c r="C11" s="38"/>
      <c r="D11" s="203">
        <f>D10*12%</f>
        <v>0</v>
      </c>
    </row>
    <row r="12" spans="2:6" x14ac:dyDescent="0.45">
      <c r="B12" s="131" t="str">
        <f>'Summary - All Clusters'!C20</f>
        <v>Add Other Charges:</v>
      </c>
      <c r="C12" s="38"/>
      <c r="D12" s="203">
        <f>D10*4%</f>
        <v>0</v>
      </c>
      <c r="F12" s="18"/>
    </row>
    <row r="13" spans="2:6" x14ac:dyDescent="0.45">
      <c r="B13" s="131" t="s">
        <v>671</v>
      </c>
      <c r="C13" s="38"/>
      <c r="D13" s="203">
        <f>Input!D13</f>
        <v>0</v>
      </c>
    </row>
    <row r="14" spans="2:6" x14ac:dyDescent="0.45">
      <c r="B14" s="424" t="s">
        <v>672</v>
      </c>
      <c r="C14" s="425"/>
      <c r="D14" s="426">
        <f>D13*50%</f>
        <v>0</v>
      </c>
    </row>
    <row r="15" spans="2:6" x14ac:dyDescent="0.45">
      <c r="B15" s="424" t="s">
        <v>932</v>
      </c>
      <c r="C15" s="428"/>
      <c r="D15" s="429">
        <f>IF(C20="PAYMENT TERM NOT AVAILABLE FOR THIS PROPERTY",0,25000)</f>
        <v>0</v>
      </c>
    </row>
    <row r="16" spans="2:6" s="11" customFormat="1" ht="19" thickBot="1" x14ac:dyDescent="0.5">
      <c r="B16" s="33" t="str">
        <f>'Summary - All Clusters'!C24</f>
        <v>Total Contract Price:</v>
      </c>
      <c r="C16" s="41"/>
      <c r="D16" s="204">
        <f>ROUND(D10+D11+D12+D13-D14-D15,-2)</f>
        <v>0</v>
      </c>
    </row>
    <row r="17" spans="2:8" x14ac:dyDescent="0.45">
      <c r="B17" s="42" t="str">
        <f>'Summary - All Clusters'!B8</f>
        <v>Computation generated on:</v>
      </c>
      <c r="C17" s="10">
        <f ca="1">'Summary - All Clusters'!C8</f>
        <v>44061</v>
      </c>
    </row>
    <row r="18" spans="2:8" x14ac:dyDescent="0.45">
      <c r="B18" s="43" t="s">
        <v>599</v>
      </c>
    </row>
    <row r="19" spans="2:8" ht="19" thickBot="1" x14ac:dyDescent="0.5"/>
    <row r="20" spans="2:8" x14ac:dyDescent="0.45">
      <c r="C20" s="522" t="str">
        <f>IF('Cash 95-5 (For ARB B)'!C18:E18="PAYMENT TERM NOT AVAILABLE FOR THIS PROPERTY","CASH 30 Days (with 9% Discount)","PAYMENT TERM NOT AVAILABLE FOR THIS PROPERTY")</f>
        <v>PAYMENT TERM NOT AVAILABLE FOR THIS PROPERTY</v>
      </c>
      <c r="D20" s="523"/>
      <c r="E20" s="524"/>
    </row>
    <row r="21" spans="2:8" x14ac:dyDescent="0.45">
      <c r="C21" s="525" t="s">
        <v>600</v>
      </c>
      <c r="D21" s="526"/>
      <c r="E21" s="46" t="s">
        <v>601</v>
      </c>
    </row>
    <row r="22" spans="2:8" x14ac:dyDescent="0.45">
      <c r="C22" s="529">
        <f ca="1">C17</f>
        <v>44061</v>
      </c>
      <c r="D22" s="530"/>
      <c r="E22" s="47">
        <f>IF($C$20="PAYMENT TERM NOT AVAILABLE FOR THIS PROPERTY",0,25000)</f>
        <v>0</v>
      </c>
      <c r="F22" s="473" t="s">
        <v>609</v>
      </c>
    </row>
    <row r="23" spans="2:8" ht="19" thickBot="1" x14ac:dyDescent="0.5">
      <c r="C23" s="527">
        <f ca="1">EDATE(C22,1)</f>
        <v>44092</v>
      </c>
      <c r="D23" s="528"/>
      <c r="E23" s="48">
        <f>IF($C$20="PAYMENT TERM NOT AVAILABLE FOR THIS PROPERTY",0,D16-E22)</f>
        <v>0</v>
      </c>
      <c r="F23" s="13"/>
    </row>
    <row r="25" spans="2:8" ht="37.5" customHeight="1" x14ac:dyDescent="0.45">
      <c r="B25" s="513" t="s">
        <v>608</v>
      </c>
      <c r="C25" s="513"/>
      <c r="D25" s="513"/>
      <c r="E25" s="513"/>
      <c r="F25" s="513"/>
      <c r="G25" s="513"/>
    </row>
    <row r="26" spans="2:8" ht="37.5" customHeight="1" x14ac:dyDescent="0.45">
      <c r="B26" s="513" t="s">
        <v>602</v>
      </c>
      <c r="C26" s="513"/>
      <c r="D26" s="513"/>
      <c r="E26" s="513"/>
      <c r="F26" s="513"/>
      <c r="G26" s="513"/>
    </row>
    <row r="27" spans="2:8" x14ac:dyDescent="0.45">
      <c r="B27" s="513" t="s">
        <v>603</v>
      </c>
      <c r="C27" s="513"/>
      <c r="D27" s="513"/>
      <c r="E27" s="513"/>
      <c r="F27" s="513"/>
      <c r="G27" s="513"/>
    </row>
    <row r="28" spans="2:8" ht="18.649999999999999" customHeight="1" x14ac:dyDescent="0.45">
      <c r="B28" s="536" t="s">
        <v>940</v>
      </c>
      <c r="C28" s="536"/>
      <c r="D28" s="536"/>
      <c r="E28" s="536"/>
      <c r="F28" s="488"/>
      <c r="G28" s="187"/>
      <c r="H28" s="187"/>
    </row>
    <row r="29" spans="2:8" ht="18.649999999999999" customHeight="1" x14ac:dyDescent="0.45">
      <c r="B29" s="510" t="s">
        <v>933</v>
      </c>
      <c r="C29" s="510"/>
      <c r="D29" s="510"/>
      <c r="E29" s="510"/>
      <c r="F29" s="510"/>
    </row>
    <row r="30" spans="2:8" x14ac:dyDescent="0.45">
      <c r="B30" s="487" t="s">
        <v>936</v>
      </c>
      <c r="C30" s="487"/>
      <c r="D30" s="487"/>
      <c r="E30" s="487"/>
      <c r="F30" s="487"/>
    </row>
    <row r="31" spans="2:8" x14ac:dyDescent="0.45">
      <c r="B31" s="486" t="s">
        <v>934</v>
      </c>
      <c r="C31" s="484"/>
      <c r="D31" s="484"/>
      <c r="E31" s="484"/>
      <c r="F31" s="484"/>
    </row>
    <row r="33" spans="2:5" s="51" customFormat="1" x14ac:dyDescent="0.45">
      <c r="B33" s="165" t="s">
        <v>605</v>
      </c>
      <c r="C33" s="165"/>
      <c r="D33" s="165" t="s">
        <v>606</v>
      </c>
    </row>
    <row r="34" spans="2:5" s="51" customFormat="1" x14ac:dyDescent="0.45"/>
    <row r="35" spans="2:5" s="51" customFormat="1" x14ac:dyDescent="0.45"/>
    <row r="36" spans="2:5" ht="19" thickBot="1" x14ac:dyDescent="0.5">
      <c r="B36" s="49"/>
      <c r="D36" s="514"/>
      <c r="E36" s="514"/>
    </row>
    <row r="37" spans="2:5" x14ac:dyDescent="0.45">
      <c r="B37" s="8">
        <f>Input!D4</f>
        <v>0</v>
      </c>
      <c r="D37" s="50">
        <f>Input!D5</f>
        <v>0</v>
      </c>
    </row>
    <row r="38" spans="2:5" x14ac:dyDescent="0.45">
      <c r="D38" s="50"/>
    </row>
    <row r="39" spans="2:5" s="51" customFormat="1" x14ac:dyDescent="0.45">
      <c r="B39" s="165" t="s">
        <v>607</v>
      </c>
    </row>
    <row r="40" spans="2:5" s="51" customFormat="1" x14ac:dyDescent="0.45"/>
    <row r="41" spans="2:5" s="51" customFormat="1" x14ac:dyDescent="0.45"/>
    <row r="42" spans="2:5" ht="19" thickBot="1" x14ac:dyDescent="0.5">
      <c r="B42" s="49"/>
    </row>
    <row r="43" spans="2:5" x14ac:dyDescent="0.45">
      <c r="B43" s="8">
        <f>Input!D6</f>
        <v>0</v>
      </c>
    </row>
  </sheetData>
  <sheetProtection algorithmName="SHA-512" hashValue="AS2Zo4tC3z+R5H3cNjHKYO3dc6hU6yS0fnFYeXTGBwYgiQ06xM6HbB7khl/rCSwngktH6MAqu7zE0u9dOf/icA==" saltValue="tr9kL3Ly7KApZI0xbumvUQ==" spinCount="100000" sheet="1" objects="1" scenarios="1"/>
  <mergeCells count="13">
    <mergeCell ref="C1:D1"/>
    <mergeCell ref="C20:E20"/>
    <mergeCell ref="D36:E36"/>
    <mergeCell ref="B3:D3"/>
    <mergeCell ref="B4:D4"/>
    <mergeCell ref="B25:G25"/>
    <mergeCell ref="B26:G26"/>
    <mergeCell ref="B27:G27"/>
    <mergeCell ref="C21:D21"/>
    <mergeCell ref="C22:D22"/>
    <mergeCell ref="C23:D23"/>
    <mergeCell ref="B28:E28"/>
    <mergeCell ref="B29:F29"/>
  </mergeCells>
  <conditionalFormatting sqref="D37:D38">
    <cfRule type="expression" dxfId="54" priority="13">
      <formula>$D$37=0</formula>
    </cfRule>
  </conditionalFormatting>
  <conditionalFormatting sqref="B43">
    <cfRule type="expression" dxfId="53" priority="12">
      <formula>$B$43=0</formula>
    </cfRule>
  </conditionalFormatting>
  <conditionalFormatting sqref="B37">
    <cfRule type="expression" dxfId="52" priority="11">
      <formula>$B$37=0</formula>
    </cfRule>
  </conditionalFormatting>
  <conditionalFormatting sqref="C5">
    <cfRule type="expression" dxfId="51" priority="6">
      <formula>$C$5=0</formula>
    </cfRule>
  </conditionalFormatting>
  <conditionalFormatting sqref="D5">
    <cfRule type="expression" dxfId="50" priority="5">
      <formula>$D$5=0</formula>
    </cfRule>
  </conditionalFormatting>
  <conditionalFormatting sqref="D7">
    <cfRule type="expression" dxfId="49" priority="2">
      <formula>$D$7=0</formula>
    </cfRule>
  </conditionalFormatting>
  <conditionalFormatting sqref="D9">
    <cfRule type="expression" dxfId="48" priority="1">
      <formula>$D$7=0</formula>
    </cfRule>
  </conditionalFormatting>
  <pageMargins left="0.7" right="0.7" top="0.75" bottom="0.75" header="0.3" footer="0.3"/>
  <pageSetup scale="62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79992065187536243"/>
    <pageSetUpPr fitToPage="1"/>
  </sheetPr>
  <dimension ref="B1:E72"/>
  <sheetViews>
    <sheetView showGridLines="0" view="pageBreakPreview" zoomScale="55" zoomScaleNormal="100" zoomScaleSheetLayoutView="55" workbookViewId="0">
      <selection activeCell="C1" sqref="C1:D1"/>
    </sheetView>
  </sheetViews>
  <sheetFormatPr defaultColWidth="8.81640625" defaultRowHeight="18.5" x14ac:dyDescent="0.45"/>
  <cols>
    <col min="1" max="1" width="4.453125" style="8" customWidth="1"/>
    <col min="2" max="2" width="31.26953125" style="8" customWidth="1"/>
    <col min="3" max="3" width="29.81640625" style="8" customWidth="1"/>
    <col min="4" max="4" width="27.453125" style="297" customWidth="1"/>
    <col min="5" max="7" width="8.81640625" style="8"/>
    <col min="8" max="8" width="19.1796875" style="8" customWidth="1"/>
    <col min="9" max="16384" width="8.81640625" style="8"/>
  </cols>
  <sheetData>
    <row r="1" spans="2:4" x14ac:dyDescent="0.45">
      <c r="B1" s="11" t="s">
        <v>598</v>
      </c>
      <c r="C1" s="515">
        <f>Input!D4</f>
        <v>0</v>
      </c>
      <c r="D1" s="515"/>
    </row>
    <row r="2" spans="2:4" ht="9" customHeight="1" thickBot="1" x14ac:dyDescent="0.5"/>
    <row r="3" spans="2:4" x14ac:dyDescent="0.45">
      <c r="B3" s="516" t="str">
        <f>"Brentville International - "&amp;Input!D7</f>
        <v>Brentville International - The Arborage</v>
      </c>
      <c r="C3" s="517"/>
      <c r="D3" s="518"/>
    </row>
    <row r="4" spans="2:4" x14ac:dyDescent="0.45">
      <c r="B4" s="519" t="str">
        <f>'Summary - All Clusters'!C5</f>
        <v>B-B2-L10</v>
      </c>
      <c r="C4" s="520"/>
      <c r="D4" s="521"/>
    </row>
    <row r="5" spans="2:4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98">
        <f>C5*10.76391</f>
        <v>1808.3368799999998</v>
      </c>
    </row>
    <row r="6" spans="2:4" s="11" customFormat="1" x14ac:dyDescent="0.45">
      <c r="B6" s="32" t="str">
        <f>'Summary - All Clusters'!C34</f>
        <v>Total List Price</v>
      </c>
      <c r="C6" s="40"/>
      <c r="D6" s="36">
        <f>Input!D12</f>
        <v>5641104</v>
      </c>
    </row>
    <row r="7" spans="2:4" s="23" customFormat="1" x14ac:dyDescent="0.45">
      <c r="B7" s="162" t="str">
        <f>'Summary - All Clusters'!C35</f>
        <v>Less 1% Discount:</v>
      </c>
      <c r="C7" s="163"/>
      <c r="D7" s="164">
        <f>D6*1%</f>
        <v>56411.040000000001</v>
      </c>
    </row>
    <row r="8" spans="2:4" s="11" customFormat="1" x14ac:dyDescent="0.45">
      <c r="B8" s="32" t="str">
        <f>'Summary - All Clusters'!C38</f>
        <v>Net List Price:</v>
      </c>
      <c r="C8" s="40"/>
      <c r="D8" s="36">
        <f>D6-D7</f>
        <v>5584692.96</v>
      </c>
    </row>
    <row r="9" spans="2:4" x14ac:dyDescent="0.45">
      <c r="B9" s="131" t="str">
        <f>'Summary - All Clusters'!C39</f>
        <v>Add VAT:</v>
      </c>
      <c r="C9" s="38"/>
      <c r="D9" s="34">
        <f>D8*12%</f>
        <v>670163.15519999992</v>
      </c>
    </row>
    <row r="10" spans="2:4" x14ac:dyDescent="0.45">
      <c r="B10" s="131" t="str">
        <f>'Summary - All Clusters'!C40</f>
        <v>Add Other Charges:</v>
      </c>
      <c r="C10" s="38"/>
      <c r="D10" s="34">
        <f>D8*4%</f>
        <v>223387.71840000001</v>
      </c>
    </row>
    <row r="11" spans="2:4" x14ac:dyDescent="0.45">
      <c r="B11" s="131" t="s">
        <v>671</v>
      </c>
      <c r="C11" s="38"/>
      <c r="D11" s="34">
        <f>Input!D13</f>
        <v>0</v>
      </c>
    </row>
    <row r="12" spans="2:4" x14ac:dyDescent="0.45">
      <c r="B12" s="162" t="s">
        <v>672</v>
      </c>
      <c r="C12" s="166"/>
      <c r="D12" s="167">
        <f>D11*50%</f>
        <v>0</v>
      </c>
    </row>
    <row r="13" spans="2:4" s="11" customFormat="1" ht="19" thickBot="1" x14ac:dyDescent="0.5">
      <c r="B13" s="33" t="str">
        <f>'Summary - All Clusters'!C44</f>
        <v>Total Contract Price:</v>
      </c>
      <c r="C13" s="41"/>
      <c r="D13" s="81">
        <f>ROUND(D8+D9+D10+D11-D12,-2)</f>
        <v>6478200</v>
      </c>
    </row>
    <row r="14" spans="2:4" s="11" customFormat="1" ht="19" hidden="1" thickBot="1" x14ac:dyDescent="0.5">
      <c r="B14" s="33" t="s">
        <v>610</v>
      </c>
      <c r="C14" s="41"/>
      <c r="D14" s="37">
        <f>(D13-D20-D21)*Input!D14*0</f>
        <v>0</v>
      </c>
    </row>
    <row r="15" spans="2:4" x14ac:dyDescent="0.45">
      <c r="B15" s="42" t="str">
        <f>'Summary - All Clusters'!B8</f>
        <v>Computation generated on:</v>
      </c>
      <c r="C15" s="10">
        <f ca="1">'Summary - All Clusters'!C8</f>
        <v>44061</v>
      </c>
    </row>
    <row r="16" spans="2:4" x14ac:dyDescent="0.45">
      <c r="B16" s="43" t="s">
        <v>599</v>
      </c>
    </row>
    <row r="17" spans="3:5" ht="19" thickBot="1" x14ac:dyDescent="0.5"/>
    <row r="18" spans="3:5" x14ac:dyDescent="0.45">
      <c r="C18" s="522" t="str">
        <f>IF('Cash 95-5 (For ARB B)'!$C$18:$E$18="PAYMENT TERM NOT AVAILABLE FOR THIS PROPERTY","30% DP / 70% over 30 months (with 1% discount)","PAYMENT TERM NOT AVAILABLE FOR THIS PROPERTY")</f>
        <v>PAYMENT TERM NOT AVAILABLE FOR THIS PROPERTY</v>
      </c>
      <c r="D18" s="524"/>
    </row>
    <row r="19" spans="3:5" x14ac:dyDescent="0.45">
      <c r="C19" s="292" t="s">
        <v>600</v>
      </c>
      <c r="D19" s="46" t="s">
        <v>601</v>
      </c>
    </row>
    <row r="20" spans="3:5" x14ac:dyDescent="0.45">
      <c r="C20" s="294">
        <f ca="1">TODAY()</f>
        <v>44061</v>
      </c>
      <c r="D20" s="302">
        <f>IF($C$18="PAYMENT TERM NOT AVAILABLE FOR THIS PROPERTY",0,50000)</f>
        <v>0</v>
      </c>
      <c r="E20" s="13" t="s">
        <v>609</v>
      </c>
    </row>
    <row r="21" spans="3:5" x14ac:dyDescent="0.45">
      <c r="C21" s="294">
        <f ca="1">EDATE(C20,1)</f>
        <v>44092</v>
      </c>
      <c r="D21" s="302">
        <f>IF($C$18="PAYMENT TERM NOT AVAILABLE FOR THIS PROPERTY",0,(D13*30%)-D20)</f>
        <v>0</v>
      </c>
    </row>
    <row r="22" spans="3:5" x14ac:dyDescent="0.45">
      <c r="C22" s="294">
        <f t="shared" ref="C22:C51" ca="1" si="0">EDATE(C21,1)</f>
        <v>44122</v>
      </c>
      <c r="D22" s="303">
        <f>IF(C18="PAYMENT TERM NOT AVAILABLE FOR THIS PROPERTY",0,(D13*70%)/30)</f>
        <v>0</v>
      </c>
    </row>
    <row r="23" spans="3:5" x14ac:dyDescent="0.45">
      <c r="C23" s="294">
        <f t="shared" ca="1" si="0"/>
        <v>44153</v>
      </c>
      <c r="D23" s="303">
        <f>D22</f>
        <v>0</v>
      </c>
    </row>
    <row r="24" spans="3:5" x14ac:dyDescent="0.45">
      <c r="C24" s="294">
        <f t="shared" ca="1" si="0"/>
        <v>44183</v>
      </c>
      <c r="D24" s="303">
        <f t="shared" ref="D24:D51" si="1">D23</f>
        <v>0</v>
      </c>
    </row>
    <row r="25" spans="3:5" x14ac:dyDescent="0.45">
      <c r="C25" s="294">
        <f t="shared" ca="1" si="0"/>
        <v>44214</v>
      </c>
      <c r="D25" s="303">
        <f t="shared" si="1"/>
        <v>0</v>
      </c>
    </row>
    <row r="26" spans="3:5" x14ac:dyDescent="0.45">
      <c r="C26" s="294">
        <f t="shared" ca="1" si="0"/>
        <v>44245</v>
      </c>
      <c r="D26" s="303">
        <f t="shared" si="1"/>
        <v>0</v>
      </c>
    </row>
    <row r="27" spans="3:5" x14ac:dyDescent="0.45">
      <c r="C27" s="294">
        <f t="shared" ca="1" si="0"/>
        <v>44273</v>
      </c>
      <c r="D27" s="303">
        <f t="shared" si="1"/>
        <v>0</v>
      </c>
    </row>
    <row r="28" spans="3:5" x14ac:dyDescent="0.45">
      <c r="C28" s="294">
        <f t="shared" ca="1" si="0"/>
        <v>44304</v>
      </c>
      <c r="D28" s="303">
        <f t="shared" si="1"/>
        <v>0</v>
      </c>
    </row>
    <row r="29" spans="3:5" x14ac:dyDescent="0.45">
      <c r="C29" s="294">
        <f t="shared" ca="1" si="0"/>
        <v>44334</v>
      </c>
      <c r="D29" s="303">
        <f t="shared" si="1"/>
        <v>0</v>
      </c>
    </row>
    <row r="30" spans="3:5" x14ac:dyDescent="0.45">
      <c r="C30" s="294">
        <f t="shared" ca="1" si="0"/>
        <v>44365</v>
      </c>
      <c r="D30" s="303">
        <f t="shared" si="1"/>
        <v>0</v>
      </c>
    </row>
    <row r="31" spans="3:5" x14ac:dyDescent="0.45">
      <c r="C31" s="294">
        <f t="shared" ca="1" si="0"/>
        <v>44395</v>
      </c>
      <c r="D31" s="303">
        <f t="shared" si="1"/>
        <v>0</v>
      </c>
    </row>
    <row r="32" spans="3:5" x14ac:dyDescent="0.45">
      <c r="C32" s="294">
        <f t="shared" ca="1" si="0"/>
        <v>44426</v>
      </c>
      <c r="D32" s="303">
        <f t="shared" si="1"/>
        <v>0</v>
      </c>
    </row>
    <row r="33" spans="3:4" x14ac:dyDescent="0.45">
      <c r="C33" s="294">
        <f t="shared" ca="1" si="0"/>
        <v>44457</v>
      </c>
      <c r="D33" s="303">
        <f t="shared" si="1"/>
        <v>0</v>
      </c>
    </row>
    <row r="34" spans="3:4" x14ac:dyDescent="0.45">
      <c r="C34" s="294">
        <f t="shared" ca="1" si="0"/>
        <v>44487</v>
      </c>
      <c r="D34" s="303">
        <f t="shared" si="1"/>
        <v>0</v>
      </c>
    </row>
    <row r="35" spans="3:4" x14ac:dyDescent="0.45">
      <c r="C35" s="294">
        <f t="shared" ca="1" si="0"/>
        <v>44518</v>
      </c>
      <c r="D35" s="303">
        <f t="shared" si="1"/>
        <v>0</v>
      </c>
    </row>
    <row r="36" spans="3:4" x14ac:dyDescent="0.45">
      <c r="C36" s="294">
        <f t="shared" ca="1" si="0"/>
        <v>44548</v>
      </c>
      <c r="D36" s="303">
        <f t="shared" si="1"/>
        <v>0</v>
      </c>
    </row>
    <row r="37" spans="3:4" x14ac:dyDescent="0.45">
      <c r="C37" s="294">
        <f t="shared" ca="1" si="0"/>
        <v>44579</v>
      </c>
      <c r="D37" s="303">
        <f t="shared" si="1"/>
        <v>0</v>
      </c>
    </row>
    <row r="38" spans="3:4" x14ac:dyDescent="0.45">
      <c r="C38" s="294">
        <f t="shared" ca="1" si="0"/>
        <v>44610</v>
      </c>
      <c r="D38" s="303">
        <f t="shared" si="1"/>
        <v>0</v>
      </c>
    </row>
    <row r="39" spans="3:4" x14ac:dyDescent="0.45">
      <c r="C39" s="294">
        <f t="shared" ca="1" si="0"/>
        <v>44638</v>
      </c>
      <c r="D39" s="303">
        <f t="shared" si="1"/>
        <v>0</v>
      </c>
    </row>
    <row r="40" spans="3:4" x14ac:dyDescent="0.45">
      <c r="C40" s="294">
        <f t="shared" ca="1" si="0"/>
        <v>44669</v>
      </c>
      <c r="D40" s="303">
        <f t="shared" si="1"/>
        <v>0</v>
      </c>
    </row>
    <row r="41" spans="3:4" x14ac:dyDescent="0.45">
      <c r="C41" s="294">
        <f t="shared" ca="1" si="0"/>
        <v>44699</v>
      </c>
      <c r="D41" s="303">
        <f t="shared" si="1"/>
        <v>0</v>
      </c>
    </row>
    <row r="42" spans="3:4" x14ac:dyDescent="0.45">
      <c r="C42" s="294">
        <f t="shared" ca="1" si="0"/>
        <v>44730</v>
      </c>
      <c r="D42" s="303">
        <f t="shared" si="1"/>
        <v>0</v>
      </c>
    </row>
    <row r="43" spans="3:4" x14ac:dyDescent="0.45">
      <c r="C43" s="294">
        <f t="shared" ca="1" si="0"/>
        <v>44760</v>
      </c>
      <c r="D43" s="303">
        <f t="shared" si="1"/>
        <v>0</v>
      </c>
    </row>
    <row r="44" spans="3:4" x14ac:dyDescent="0.45">
      <c r="C44" s="294">
        <f t="shared" ca="1" si="0"/>
        <v>44791</v>
      </c>
      <c r="D44" s="303">
        <f t="shared" si="1"/>
        <v>0</v>
      </c>
    </row>
    <row r="45" spans="3:4" x14ac:dyDescent="0.45">
      <c r="C45" s="294">
        <f t="shared" ca="1" si="0"/>
        <v>44822</v>
      </c>
      <c r="D45" s="303">
        <f t="shared" si="1"/>
        <v>0</v>
      </c>
    </row>
    <row r="46" spans="3:4" x14ac:dyDescent="0.45">
      <c r="C46" s="294">
        <f t="shared" ca="1" si="0"/>
        <v>44852</v>
      </c>
      <c r="D46" s="303">
        <f t="shared" si="1"/>
        <v>0</v>
      </c>
    </row>
    <row r="47" spans="3:4" x14ac:dyDescent="0.45">
      <c r="C47" s="294">
        <f t="shared" ca="1" si="0"/>
        <v>44883</v>
      </c>
      <c r="D47" s="303">
        <f t="shared" si="1"/>
        <v>0</v>
      </c>
    </row>
    <row r="48" spans="3:4" x14ac:dyDescent="0.45">
      <c r="C48" s="294">
        <f t="shared" ca="1" si="0"/>
        <v>44913</v>
      </c>
      <c r="D48" s="303">
        <f t="shared" si="1"/>
        <v>0</v>
      </c>
    </row>
    <row r="49" spans="2:5" x14ac:dyDescent="0.45">
      <c r="C49" s="294">
        <f t="shared" ca="1" si="0"/>
        <v>44944</v>
      </c>
      <c r="D49" s="303">
        <f t="shared" si="1"/>
        <v>0</v>
      </c>
    </row>
    <row r="50" spans="2:5" x14ac:dyDescent="0.45">
      <c r="C50" s="294">
        <f t="shared" ca="1" si="0"/>
        <v>44975</v>
      </c>
      <c r="D50" s="303">
        <f t="shared" si="1"/>
        <v>0</v>
      </c>
    </row>
    <row r="51" spans="2:5" ht="19" thickBot="1" x14ac:dyDescent="0.5">
      <c r="C51" s="293">
        <f t="shared" ca="1" si="0"/>
        <v>45003</v>
      </c>
      <c r="D51" s="304">
        <f t="shared" si="1"/>
        <v>0</v>
      </c>
    </row>
    <row r="52" spans="2:5" x14ac:dyDescent="0.45">
      <c r="C52" s="7" t="s">
        <v>614</v>
      </c>
    </row>
    <row r="53" spans="2:5" x14ac:dyDescent="0.45">
      <c r="C53" s="7"/>
    </row>
    <row r="54" spans="2:5" ht="37.5" customHeight="1" x14ac:dyDescent="0.45">
      <c r="B54" s="537" t="s">
        <v>608</v>
      </c>
      <c r="C54" s="537"/>
      <c r="D54" s="537"/>
      <c r="E54" s="537"/>
    </row>
    <row r="55" spans="2:5" ht="37.5" customHeight="1" x14ac:dyDescent="0.45">
      <c r="B55" s="537" t="s">
        <v>602</v>
      </c>
      <c r="C55" s="537"/>
      <c r="D55" s="537"/>
      <c r="E55" s="537"/>
    </row>
    <row r="56" spans="2:5" ht="37.5" customHeight="1" x14ac:dyDescent="0.45">
      <c r="B56" s="537" t="s">
        <v>603</v>
      </c>
      <c r="C56" s="537"/>
      <c r="D56" s="537"/>
      <c r="E56" s="537"/>
    </row>
    <row r="57" spans="2:5" ht="18.75" customHeight="1" x14ac:dyDescent="0.45">
      <c r="B57" s="537" t="s">
        <v>604</v>
      </c>
      <c r="C57" s="537"/>
      <c r="D57" s="537"/>
      <c r="E57" s="537"/>
    </row>
    <row r="59" spans="2:5" x14ac:dyDescent="0.45">
      <c r="B59" s="8" t="s">
        <v>112</v>
      </c>
    </row>
    <row r="62" spans="2:5" s="51" customFormat="1" x14ac:dyDescent="0.45">
      <c r="B62" s="165" t="s">
        <v>605</v>
      </c>
      <c r="C62" s="165"/>
      <c r="D62" s="299" t="s">
        <v>606</v>
      </c>
    </row>
    <row r="63" spans="2:5" s="51" customFormat="1" x14ac:dyDescent="0.45">
      <c r="D63" s="300"/>
    </row>
    <row r="64" spans="2:5" s="51" customFormat="1" x14ac:dyDescent="0.45">
      <c r="D64" s="300"/>
    </row>
    <row r="65" spans="2:4" ht="19" thickBot="1" x14ac:dyDescent="0.5">
      <c r="B65" s="49"/>
      <c r="D65" s="195"/>
    </row>
    <row r="66" spans="2:4" x14ac:dyDescent="0.45">
      <c r="B66" s="8">
        <f>Input!D4</f>
        <v>0</v>
      </c>
      <c r="D66" s="301">
        <f>Input!D5</f>
        <v>0</v>
      </c>
    </row>
    <row r="67" spans="2:4" x14ac:dyDescent="0.45">
      <c r="D67" s="301"/>
    </row>
    <row r="68" spans="2:4" s="51" customFormat="1" x14ac:dyDescent="0.45">
      <c r="B68" s="165" t="s">
        <v>607</v>
      </c>
      <c r="D68" s="300"/>
    </row>
    <row r="69" spans="2:4" s="51" customFormat="1" x14ac:dyDescent="0.45">
      <c r="D69" s="300"/>
    </row>
    <row r="70" spans="2:4" s="51" customFormat="1" x14ac:dyDescent="0.45">
      <c r="D70" s="300"/>
    </row>
    <row r="71" spans="2:4" ht="19" thickBot="1" x14ac:dyDescent="0.5">
      <c r="B71" s="49"/>
    </row>
    <row r="72" spans="2:4" x14ac:dyDescent="0.45">
      <c r="B72" s="8">
        <f>Input!D6</f>
        <v>0</v>
      </c>
    </row>
  </sheetData>
  <mergeCells count="8">
    <mergeCell ref="C1:D1"/>
    <mergeCell ref="B57:E57"/>
    <mergeCell ref="B3:D3"/>
    <mergeCell ref="B4:D4"/>
    <mergeCell ref="C18:D18"/>
    <mergeCell ref="B54:E54"/>
    <mergeCell ref="B55:E55"/>
    <mergeCell ref="B56:E56"/>
  </mergeCells>
  <conditionalFormatting sqref="D66">
    <cfRule type="expression" dxfId="47" priority="13">
      <formula>$D$66=0</formula>
    </cfRule>
  </conditionalFormatting>
  <conditionalFormatting sqref="B66">
    <cfRule type="expression" dxfId="46" priority="11">
      <formula>$B$66=0</formula>
    </cfRule>
  </conditionalFormatting>
  <conditionalFormatting sqref="B72">
    <cfRule type="expression" dxfId="45" priority="10">
      <formula>$B$72=0</formula>
    </cfRule>
  </conditionalFormatting>
  <conditionalFormatting sqref="C5">
    <cfRule type="expression" dxfId="44" priority="4">
      <formula>$C$5=0</formula>
    </cfRule>
  </conditionalFormatting>
  <conditionalFormatting sqref="D5">
    <cfRule type="expression" dxfId="43" priority="3">
      <formula>$D$5=0</formula>
    </cfRule>
  </conditionalFormatting>
  <conditionalFormatting sqref="D7">
    <cfRule type="expression" dxfId="42" priority="2">
      <formula>$D$7=0</formula>
    </cfRule>
  </conditionalFormatting>
  <pageMargins left="0.7" right="0.7" top="0.75" bottom="0.75" header="0.3" footer="0.3"/>
  <pageSetup scale="5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7" tint="0.79992065187536243"/>
    <pageSetUpPr fitToPage="1"/>
  </sheetPr>
  <dimension ref="B1:H58"/>
  <sheetViews>
    <sheetView showGridLines="0" view="pageBreakPreview" zoomScale="43" zoomScaleNormal="100" zoomScaleSheetLayoutView="25" workbookViewId="0">
      <selection activeCell="B43" sqref="B43:E43"/>
    </sheetView>
  </sheetViews>
  <sheetFormatPr defaultColWidth="8.81640625" defaultRowHeight="18.5" x14ac:dyDescent="0.45"/>
  <cols>
    <col min="1" max="1" width="4.7265625" style="8" customWidth="1"/>
    <col min="2" max="2" width="31.81640625" style="8" customWidth="1"/>
    <col min="3" max="3" width="32.453125" style="8" customWidth="1"/>
    <col min="4" max="4" width="32.36328125" style="8" customWidth="1"/>
    <col min="5" max="5" width="28.453125" style="8" customWidth="1"/>
    <col min="6" max="6" width="17" style="8" customWidth="1"/>
    <col min="7" max="16384" width="8.81640625" style="8"/>
  </cols>
  <sheetData>
    <row r="1" spans="2:5" x14ac:dyDescent="0.45">
      <c r="B1" s="11" t="s">
        <v>598</v>
      </c>
      <c r="C1" s="538">
        <f>Input!D4</f>
        <v>0</v>
      </c>
      <c r="D1" s="538"/>
    </row>
    <row r="2" spans="2:5" ht="19" thickBot="1" x14ac:dyDescent="0.5"/>
    <row r="3" spans="2:5" x14ac:dyDescent="0.45">
      <c r="B3" s="516" t="str">
        <f>"Brentville International - "&amp;Input!D7</f>
        <v>Brentville International - The Arborage</v>
      </c>
      <c r="C3" s="517"/>
      <c r="D3" s="518"/>
    </row>
    <row r="4" spans="2:5" x14ac:dyDescent="0.45">
      <c r="B4" s="519" t="str">
        <f>'Summary - All Clusters'!C5</f>
        <v>B-B2-L10</v>
      </c>
      <c r="C4" s="520"/>
      <c r="D4" s="521"/>
    </row>
    <row r="5" spans="2:5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00">
        <f>C5*10.76391</f>
        <v>1808.3368799999998</v>
      </c>
      <c r="E5" s="27"/>
    </row>
    <row r="6" spans="2:5" hidden="1" x14ac:dyDescent="0.45">
      <c r="B6" s="28" t="str">
        <f>IF(C6&gt;0,"House/Unit Area (approx):","")</f>
        <v/>
      </c>
      <c r="C6" s="29">
        <f>'Summary - All Clusters'!C7</f>
        <v>0</v>
      </c>
      <c r="D6" s="30">
        <f>IFERROR(C6*10.76391,"")</f>
        <v>0</v>
      </c>
    </row>
    <row r="7" spans="2:5" s="11" customFormat="1" x14ac:dyDescent="0.45">
      <c r="B7" s="32" t="s">
        <v>583</v>
      </c>
      <c r="C7" s="40"/>
      <c r="D7" s="36">
        <f>'Summary - All Clusters'!E81</f>
        <v>0</v>
      </c>
    </row>
    <row r="8" spans="2:5" s="11" customFormat="1" hidden="1" x14ac:dyDescent="0.45">
      <c r="B8" s="424" t="s">
        <v>899</v>
      </c>
      <c r="C8" s="425"/>
      <c r="D8" s="426"/>
      <c r="E8" s="423"/>
    </row>
    <row r="9" spans="2:5" s="11" customFormat="1" hidden="1" x14ac:dyDescent="0.45">
      <c r="B9" s="32" t="s">
        <v>782</v>
      </c>
      <c r="C9" s="40"/>
      <c r="D9" s="36"/>
    </row>
    <row r="10" spans="2:5" x14ac:dyDescent="0.45">
      <c r="B10" s="131" t="str">
        <f>'Summary - All Clusters'!C61</f>
        <v>Add VAT:</v>
      </c>
      <c r="C10" s="38"/>
      <c r="D10" s="34">
        <f>D7*12%</f>
        <v>0</v>
      </c>
    </row>
    <row r="11" spans="2:5" x14ac:dyDescent="0.45">
      <c r="B11" s="131" t="str">
        <f>'Summary - All Clusters'!C62</f>
        <v>Add Other Charges:</v>
      </c>
      <c r="C11" s="38"/>
      <c r="D11" s="34">
        <f>D7*4%</f>
        <v>0</v>
      </c>
    </row>
    <row r="12" spans="2:5" x14ac:dyDescent="0.45">
      <c r="B12" s="131" t="s">
        <v>671</v>
      </c>
      <c r="C12" s="38"/>
      <c r="D12" s="34">
        <f>Input!D13</f>
        <v>0</v>
      </c>
    </row>
    <row r="13" spans="2:5" s="23" customFormat="1" x14ac:dyDescent="0.45">
      <c r="B13" s="424" t="s">
        <v>672</v>
      </c>
      <c r="C13" s="425"/>
      <c r="D13" s="437">
        <f>D12*50%</f>
        <v>0</v>
      </c>
    </row>
    <row r="14" spans="2:5" s="23" customFormat="1" x14ac:dyDescent="0.45">
      <c r="B14" s="424" t="s">
        <v>932</v>
      </c>
      <c r="C14" s="428"/>
      <c r="D14" s="429">
        <f>IF(C20="PAYMENT TERM NOT AVAILABLE FOR THIS PROPERTY",0,25000)</f>
        <v>0</v>
      </c>
    </row>
    <row r="15" spans="2:5" s="11" customFormat="1" ht="19" thickBot="1" x14ac:dyDescent="0.5">
      <c r="B15" s="33" t="str">
        <f>'Summary - All Clusters'!C66</f>
        <v>Total Contract Price:</v>
      </c>
      <c r="C15" s="41"/>
      <c r="D15" s="37">
        <f>ROUND(D7+D10+D11+D12-D13-D14,-2)</f>
        <v>0</v>
      </c>
    </row>
    <row r="16" spans="2:5" s="11" customFormat="1" ht="19" hidden="1" thickBot="1" x14ac:dyDescent="0.5">
      <c r="B16" s="33" t="s">
        <v>610</v>
      </c>
      <c r="C16" s="41"/>
      <c r="D16" s="37"/>
      <c r="E16" s="19"/>
    </row>
    <row r="17" spans="2:7" x14ac:dyDescent="0.45">
      <c r="B17" s="42" t="str">
        <f>'Summary - All Clusters'!B8</f>
        <v>Computation generated on:</v>
      </c>
      <c r="C17" s="10">
        <f ca="1">'Summary - All Clusters'!C8</f>
        <v>44061</v>
      </c>
    </row>
    <row r="18" spans="2:7" x14ac:dyDescent="0.45">
      <c r="B18" s="43" t="s">
        <v>599</v>
      </c>
    </row>
    <row r="19" spans="2:7" ht="19" thickBot="1" x14ac:dyDescent="0.5">
      <c r="E19" s="9"/>
    </row>
    <row r="20" spans="2:7" x14ac:dyDescent="0.45">
      <c r="C20" s="539" t="str">
        <f>'Summary - All Clusters'!$B$145</f>
        <v>PAYMENT TERM NOT AVAILABLE FOR THIS PROPERTY</v>
      </c>
      <c r="D20" s="540"/>
      <c r="E20" s="184"/>
    </row>
    <row r="21" spans="2:7" x14ac:dyDescent="0.45">
      <c r="C21" s="466" t="s">
        <v>600</v>
      </c>
      <c r="D21" s="46" t="s">
        <v>611</v>
      </c>
    </row>
    <row r="22" spans="2:7" x14ac:dyDescent="0.45">
      <c r="C22" s="468">
        <f ca="1">C17</f>
        <v>44061</v>
      </c>
      <c r="D22" s="47">
        <f>IF($C$20="PAYMENT TERM NOT AVAILABLE FOR THIS PROPERTY",0,25000)</f>
        <v>0</v>
      </c>
      <c r="E22" s="541" t="s">
        <v>609</v>
      </c>
      <c r="F22" s="542"/>
      <c r="G22" s="542"/>
    </row>
    <row r="23" spans="2:7" x14ac:dyDescent="0.45">
      <c r="C23" s="468">
        <f ca="1">EDATE(C22,1)</f>
        <v>44092</v>
      </c>
      <c r="D23" s="47">
        <f>IF($C$20="PAYMENT TERM NOT AVAILABLE FOR THIS PROPERTY",0,((D15*10%)-(25000))/12)</f>
        <v>0</v>
      </c>
    </row>
    <row r="24" spans="2:7" x14ac:dyDescent="0.45">
      <c r="C24" s="472">
        <f t="shared" ref="C24:C35" ca="1" si="0">EDATE(C23,1)</f>
        <v>44122</v>
      </c>
      <c r="D24" s="303">
        <f>D23</f>
        <v>0</v>
      </c>
      <c r="E24" s="18"/>
    </row>
    <row r="25" spans="2:7" x14ac:dyDescent="0.45">
      <c r="C25" s="472">
        <f t="shared" ca="1" si="0"/>
        <v>44153</v>
      </c>
      <c r="D25" s="303">
        <f>D24</f>
        <v>0</v>
      </c>
    </row>
    <row r="26" spans="2:7" x14ac:dyDescent="0.45">
      <c r="C26" s="472">
        <f t="shared" ca="1" si="0"/>
        <v>44183</v>
      </c>
      <c r="D26" s="303">
        <f t="shared" ref="D26:D34" si="1">D25</f>
        <v>0</v>
      </c>
    </row>
    <row r="27" spans="2:7" x14ac:dyDescent="0.45">
      <c r="C27" s="472">
        <f t="shared" ca="1" si="0"/>
        <v>44214</v>
      </c>
      <c r="D27" s="303">
        <f t="shared" si="1"/>
        <v>0</v>
      </c>
    </row>
    <row r="28" spans="2:7" x14ac:dyDescent="0.45">
      <c r="C28" s="472">
        <f t="shared" ca="1" si="0"/>
        <v>44245</v>
      </c>
      <c r="D28" s="303">
        <f t="shared" si="1"/>
        <v>0</v>
      </c>
    </row>
    <row r="29" spans="2:7" x14ac:dyDescent="0.45">
      <c r="C29" s="472">
        <f t="shared" ca="1" si="0"/>
        <v>44273</v>
      </c>
      <c r="D29" s="303">
        <f t="shared" si="1"/>
        <v>0</v>
      </c>
    </row>
    <row r="30" spans="2:7" x14ac:dyDescent="0.45">
      <c r="C30" s="472">
        <f t="shared" ca="1" si="0"/>
        <v>44304</v>
      </c>
      <c r="D30" s="303">
        <f t="shared" si="1"/>
        <v>0</v>
      </c>
    </row>
    <row r="31" spans="2:7" x14ac:dyDescent="0.45">
      <c r="C31" s="472">
        <f t="shared" ca="1" si="0"/>
        <v>44334</v>
      </c>
      <c r="D31" s="303">
        <f t="shared" si="1"/>
        <v>0</v>
      </c>
    </row>
    <row r="32" spans="2:7" x14ac:dyDescent="0.45">
      <c r="C32" s="472">
        <f t="shared" ca="1" si="0"/>
        <v>44365</v>
      </c>
      <c r="D32" s="303">
        <f t="shared" si="1"/>
        <v>0</v>
      </c>
    </row>
    <row r="33" spans="2:8" x14ac:dyDescent="0.45">
      <c r="C33" s="472">
        <f t="shared" ca="1" si="0"/>
        <v>44395</v>
      </c>
      <c r="D33" s="303">
        <f t="shared" si="1"/>
        <v>0</v>
      </c>
    </row>
    <row r="34" spans="2:8" x14ac:dyDescent="0.45">
      <c r="C34" s="472">
        <f t="shared" ca="1" si="0"/>
        <v>44426</v>
      </c>
      <c r="D34" s="303">
        <f t="shared" si="1"/>
        <v>0</v>
      </c>
    </row>
    <row r="35" spans="2:8" ht="19" thickBot="1" x14ac:dyDescent="0.5">
      <c r="C35" s="472">
        <f t="shared" ca="1" si="0"/>
        <v>44457</v>
      </c>
      <c r="D35" s="305">
        <f>IF(C20="PAYMENT TERM NOT AVAILABLE FOR THIS PROPERTY",0,(D15-SUM(D22:D34)))</f>
        <v>0</v>
      </c>
    </row>
    <row r="36" spans="2:8" x14ac:dyDescent="0.45">
      <c r="C36" s="7" t="s">
        <v>614</v>
      </c>
    </row>
    <row r="37" spans="2:8" x14ac:dyDescent="0.45">
      <c r="C37" s="7"/>
    </row>
    <row r="38" spans="2:8" ht="37.5" customHeight="1" x14ac:dyDescent="0.45">
      <c r="B38" s="537" t="s">
        <v>608</v>
      </c>
      <c r="C38" s="537"/>
      <c r="D38" s="537"/>
      <c r="E38" s="537"/>
      <c r="F38" s="537"/>
    </row>
    <row r="39" spans="2:8" ht="37.5" customHeight="1" x14ac:dyDescent="0.45">
      <c r="B39" s="537" t="s">
        <v>602</v>
      </c>
      <c r="C39" s="537"/>
      <c r="D39" s="537"/>
      <c r="E39" s="537"/>
      <c r="F39" s="537"/>
    </row>
    <row r="40" spans="2:8" x14ac:dyDescent="0.45">
      <c r="B40" s="537" t="s">
        <v>603</v>
      </c>
      <c r="C40" s="537"/>
      <c r="D40" s="537"/>
      <c r="E40" s="537"/>
      <c r="F40" s="537"/>
    </row>
    <row r="41" spans="2:8" ht="18.75" customHeight="1" x14ac:dyDescent="0.45">
      <c r="B41" s="537" t="s">
        <v>604</v>
      </c>
      <c r="C41" s="537"/>
      <c r="D41" s="537"/>
      <c r="E41" s="537"/>
      <c r="F41" s="537"/>
    </row>
    <row r="42" spans="2:8" ht="18.649999999999999" customHeight="1" x14ac:dyDescent="0.45">
      <c r="B42" s="536" t="s">
        <v>940</v>
      </c>
      <c r="C42" s="536"/>
      <c r="D42" s="536"/>
      <c r="E42" s="536"/>
      <c r="F42" s="477"/>
      <c r="G42" s="187"/>
      <c r="H42" s="187"/>
    </row>
    <row r="43" spans="2:8" ht="18.649999999999999" customHeight="1" x14ac:dyDescent="0.45">
      <c r="B43" s="536" t="s">
        <v>933</v>
      </c>
      <c r="C43" s="536"/>
      <c r="D43" s="536"/>
      <c r="E43" s="536"/>
      <c r="F43" s="477"/>
    </row>
    <row r="44" spans="2:8" x14ac:dyDescent="0.45">
      <c r="B44" s="487" t="s">
        <v>936</v>
      </c>
      <c r="C44" s="487"/>
      <c r="D44" s="487"/>
      <c r="E44" s="487"/>
      <c r="F44" s="487"/>
    </row>
    <row r="45" spans="2:8" x14ac:dyDescent="0.45">
      <c r="B45" s="486" t="s">
        <v>934</v>
      </c>
      <c r="C45" s="484"/>
      <c r="D45" s="484"/>
      <c r="E45" s="484"/>
      <c r="F45" s="484"/>
    </row>
    <row r="48" spans="2:8" s="51" customFormat="1" x14ac:dyDescent="0.45">
      <c r="B48" s="165" t="s">
        <v>605</v>
      </c>
      <c r="C48" s="165"/>
      <c r="D48" s="165" t="s">
        <v>606</v>
      </c>
    </row>
    <row r="49" spans="2:4" s="51" customFormat="1" x14ac:dyDescent="0.45"/>
    <row r="50" spans="2:4" s="51" customFormat="1" x14ac:dyDescent="0.45"/>
    <row r="51" spans="2:4" ht="19" thickBot="1" x14ac:dyDescent="0.5">
      <c r="B51" s="49"/>
      <c r="D51" s="291"/>
    </row>
    <row r="52" spans="2:4" x14ac:dyDescent="0.45">
      <c r="B52" s="8">
        <f>Input!D4</f>
        <v>0</v>
      </c>
      <c r="D52" s="50">
        <f>Input!D5</f>
        <v>0</v>
      </c>
    </row>
    <row r="53" spans="2:4" x14ac:dyDescent="0.45">
      <c r="D53" s="50"/>
    </row>
    <row r="54" spans="2:4" s="51" customFormat="1" x14ac:dyDescent="0.45">
      <c r="B54" s="165" t="s">
        <v>607</v>
      </c>
    </row>
    <row r="55" spans="2:4" s="51" customFormat="1" x14ac:dyDescent="0.45"/>
    <row r="56" spans="2:4" s="51" customFormat="1" x14ac:dyDescent="0.45"/>
    <row r="57" spans="2:4" ht="19" thickBot="1" x14ac:dyDescent="0.5">
      <c r="B57" s="49"/>
    </row>
    <row r="58" spans="2:4" x14ac:dyDescent="0.45">
      <c r="B58" s="8">
        <f>Input!D6</f>
        <v>0</v>
      </c>
    </row>
  </sheetData>
  <sheetProtection algorithmName="SHA-512" hashValue="FTnQYRCtyLzKztYcKGOyb9IUB+DiYpTnSgt1LK3AiLOHvcKcFV4iXQMxQFhA7yQfWqmbuNN0CJMzClS5pLVhYw==" saltValue="kuvJH+34zgiW/zDsnYy9IA==" spinCount="100000" sheet="1" objects="1" scenarios="1"/>
  <mergeCells count="11">
    <mergeCell ref="B43:E43"/>
    <mergeCell ref="B40:F40"/>
    <mergeCell ref="B41:F41"/>
    <mergeCell ref="C1:D1"/>
    <mergeCell ref="B3:D3"/>
    <mergeCell ref="B4:D4"/>
    <mergeCell ref="B38:F38"/>
    <mergeCell ref="B39:F39"/>
    <mergeCell ref="C20:D20"/>
    <mergeCell ref="E22:G22"/>
    <mergeCell ref="B42:E42"/>
  </mergeCells>
  <conditionalFormatting sqref="D52">
    <cfRule type="expression" dxfId="41" priority="10">
      <formula>$D$52=0</formula>
    </cfRule>
  </conditionalFormatting>
  <conditionalFormatting sqref="B52">
    <cfRule type="expression" dxfId="40" priority="9">
      <formula>$B$52=0</formula>
    </cfRule>
  </conditionalFormatting>
  <conditionalFormatting sqref="B58">
    <cfRule type="expression" dxfId="39" priority="8">
      <formula>$B$58=0</formula>
    </cfRule>
  </conditionalFormatting>
  <conditionalFormatting sqref="C6">
    <cfRule type="expression" dxfId="38" priority="7">
      <formula>$C$6=0</formula>
    </cfRule>
  </conditionalFormatting>
  <conditionalFormatting sqref="D6">
    <cfRule type="expression" dxfId="37" priority="6">
      <formula>$D$6=0</formula>
    </cfRule>
  </conditionalFormatting>
  <conditionalFormatting sqref="C5">
    <cfRule type="expression" dxfId="36" priority="3">
      <formula>$C$5=0</formula>
    </cfRule>
  </conditionalFormatting>
  <conditionalFormatting sqref="D5">
    <cfRule type="expression" dxfId="35" priority="2">
      <formula>$D$5=0</formula>
    </cfRule>
  </conditionalFormatting>
  <conditionalFormatting sqref="D8">
    <cfRule type="expression" dxfId="34" priority="1">
      <formula>$D$7=0</formula>
    </cfRule>
  </conditionalFormatting>
  <pageMargins left="0.7" right="0.7" top="0.75" bottom="0.75" header="0.3" footer="0.3"/>
  <pageSetup scale="5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7" tint="0.79992065187536243"/>
    <pageSetUpPr fitToPage="1"/>
  </sheetPr>
  <dimension ref="B1:H84"/>
  <sheetViews>
    <sheetView showGridLines="0" view="pageBreakPreview" topLeftCell="A9" zoomScale="47" zoomScaleNormal="100" zoomScaleSheetLayoutView="75" workbookViewId="0">
      <selection activeCell="C18" sqref="C18:D18"/>
    </sheetView>
  </sheetViews>
  <sheetFormatPr defaultColWidth="8.81640625" defaultRowHeight="18.5" x14ac:dyDescent="0.45"/>
  <cols>
    <col min="1" max="1" width="4.453125" style="8" customWidth="1"/>
    <col min="2" max="2" width="30.81640625" style="8" customWidth="1"/>
    <col min="3" max="3" width="28.54296875" style="8" customWidth="1"/>
    <col min="4" max="4" width="30.1796875" style="8" customWidth="1"/>
    <col min="5" max="7" width="8.81640625" style="8"/>
    <col min="8" max="8" width="20.81640625" style="8" customWidth="1"/>
    <col min="9" max="16384" width="8.81640625" style="8"/>
  </cols>
  <sheetData>
    <row r="1" spans="2:5" x14ac:dyDescent="0.45">
      <c r="B1" s="11" t="s">
        <v>598</v>
      </c>
      <c r="C1" s="515">
        <f>Input!D4</f>
        <v>0</v>
      </c>
      <c r="D1" s="515"/>
    </row>
    <row r="2" spans="2:5" ht="19" thickBot="1" x14ac:dyDescent="0.5"/>
    <row r="3" spans="2:5" x14ac:dyDescent="0.45">
      <c r="B3" s="516" t="str">
        <f>"Brentville International - "&amp;Input!D7</f>
        <v>Brentville International - The Arborage</v>
      </c>
      <c r="C3" s="517"/>
      <c r="D3" s="518"/>
    </row>
    <row r="4" spans="2:5" x14ac:dyDescent="0.45">
      <c r="B4" s="519" t="str">
        <f>'Summary - All Clusters'!C5</f>
        <v>B-B2-L10</v>
      </c>
      <c r="C4" s="520"/>
      <c r="D4" s="521"/>
    </row>
    <row r="5" spans="2:5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00">
        <f>C5*10.76391</f>
        <v>1808.3368799999998</v>
      </c>
    </row>
    <row r="6" spans="2:5" s="11" customFormat="1" x14ac:dyDescent="0.45">
      <c r="B6" s="32" t="s">
        <v>583</v>
      </c>
      <c r="C6" s="40"/>
      <c r="D6" s="36">
        <f>'Summary - All Clusters'!E148</f>
        <v>0</v>
      </c>
    </row>
    <row r="7" spans="2:5" s="11" customFormat="1" hidden="1" x14ac:dyDescent="0.45">
      <c r="B7" s="424" t="s">
        <v>899</v>
      </c>
      <c r="C7" s="425"/>
      <c r="D7" s="426"/>
      <c r="E7" s="423"/>
    </row>
    <row r="8" spans="2:5" s="11" customFormat="1" hidden="1" x14ac:dyDescent="0.45">
      <c r="B8" s="32" t="s">
        <v>782</v>
      </c>
      <c r="C8" s="40"/>
      <c r="D8" s="36"/>
    </row>
    <row r="9" spans="2:5" x14ac:dyDescent="0.45">
      <c r="B9" s="131" t="str">
        <f>'Summary - All Clusters'!C39</f>
        <v>Add VAT:</v>
      </c>
      <c r="C9" s="38"/>
      <c r="D9" s="34">
        <f>D6*12%</f>
        <v>0</v>
      </c>
    </row>
    <row r="10" spans="2:5" x14ac:dyDescent="0.45">
      <c r="B10" s="131" t="str">
        <f>'Summary - All Clusters'!C40</f>
        <v>Add Other Charges:</v>
      </c>
      <c r="C10" s="38"/>
      <c r="D10" s="34">
        <f>D6*4%</f>
        <v>0</v>
      </c>
    </row>
    <row r="11" spans="2:5" x14ac:dyDescent="0.45">
      <c r="B11" s="131" t="s">
        <v>671</v>
      </c>
      <c r="C11" s="38"/>
      <c r="D11" s="34">
        <f>Input!D13</f>
        <v>0</v>
      </c>
    </row>
    <row r="12" spans="2:5" x14ac:dyDescent="0.45">
      <c r="B12" s="424" t="s">
        <v>672</v>
      </c>
      <c r="C12" s="428"/>
      <c r="D12" s="429">
        <f>D11*50%</f>
        <v>0</v>
      </c>
    </row>
    <row r="13" spans="2:5" s="38" customFormat="1" x14ac:dyDescent="0.45">
      <c r="B13" s="424" t="s">
        <v>932</v>
      </c>
      <c r="C13" s="428"/>
      <c r="D13" s="429">
        <f>IF(C18="PAYMENT TERM NOT AVAILABLE FOR THIS PROPERTY",0,25000)</f>
        <v>0</v>
      </c>
    </row>
    <row r="14" spans="2:5" s="40" customFormat="1" ht="19" thickBot="1" x14ac:dyDescent="0.5">
      <c r="B14" s="33" t="s">
        <v>619</v>
      </c>
      <c r="C14" s="41"/>
      <c r="D14" s="81">
        <f>ROUND(D6+D9+D10+D11-D12-D13,-2)</f>
        <v>0</v>
      </c>
    </row>
    <row r="15" spans="2:5" x14ac:dyDescent="0.45">
      <c r="B15" s="42" t="str">
        <f>'Summary - All Clusters'!B8</f>
        <v>Computation generated on:</v>
      </c>
      <c r="C15" s="10">
        <f ca="1">'Summary - All Clusters'!C8</f>
        <v>44061</v>
      </c>
    </row>
    <row r="16" spans="2:5" x14ac:dyDescent="0.45">
      <c r="B16" s="43" t="s">
        <v>599</v>
      </c>
    </row>
    <row r="17" spans="3:7" ht="19" thickBot="1" x14ac:dyDescent="0.5"/>
    <row r="18" spans="3:7" x14ac:dyDescent="0.45">
      <c r="C18" s="539" t="str">
        <f>'Summary - All Clusters'!$B$78</f>
        <v>PAYMENT TERM NOT AVAILABLE FOR THIS PROPERTY</v>
      </c>
      <c r="D18" s="540"/>
    </row>
    <row r="19" spans="3:7" x14ac:dyDescent="0.45">
      <c r="C19" s="466" t="s">
        <v>600</v>
      </c>
      <c r="D19" s="46" t="s">
        <v>601</v>
      </c>
    </row>
    <row r="20" spans="3:7" x14ac:dyDescent="0.45">
      <c r="C20" s="468">
        <f ca="1">TODAY()</f>
        <v>44061</v>
      </c>
      <c r="D20" s="47">
        <f>IF($C$18="PAYMENT TERM NOT AVAILABLE FOR THIS PROPERTY",0,25000)</f>
        <v>0</v>
      </c>
      <c r="E20" s="541" t="s">
        <v>609</v>
      </c>
      <c r="F20" s="542"/>
      <c r="G20" s="542"/>
    </row>
    <row r="21" spans="3:7" x14ac:dyDescent="0.45">
      <c r="C21" s="468">
        <f ca="1">EDATE(C20,1)</f>
        <v>44092</v>
      </c>
      <c r="D21" s="47">
        <f>IF($C$18="PAYMENT TERM NOT AVAILABLE FOR THIS PROPERTY",0,((D14*10%)/20))</f>
        <v>0</v>
      </c>
    </row>
    <row r="22" spans="3:7" x14ac:dyDescent="0.45">
      <c r="C22" s="476">
        <f t="shared" ref="C22:C31" ca="1" si="0">EDATE(C21,1)</f>
        <v>44122</v>
      </c>
      <c r="D22" s="303">
        <f>IF($C$18="PAYMENT TERM NOT AVAILABLE FOR THIS PROPERTY",0,((D14*10%)/20))</f>
        <v>0</v>
      </c>
    </row>
    <row r="23" spans="3:7" x14ac:dyDescent="0.45">
      <c r="C23" s="476">
        <f t="shared" ca="1" si="0"/>
        <v>44153</v>
      </c>
      <c r="D23" s="303">
        <f>D22</f>
        <v>0</v>
      </c>
    </row>
    <row r="24" spans="3:7" x14ac:dyDescent="0.45">
      <c r="C24" s="476">
        <f t="shared" ca="1" si="0"/>
        <v>44183</v>
      </c>
      <c r="D24" s="303">
        <f t="shared" ref="D24:D43" si="1">D23</f>
        <v>0</v>
      </c>
    </row>
    <row r="25" spans="3:7" x14ac:dyDescent="0.45">
      <c r="C25" s="476">
        <f t="shared" ca="1" si="0"/>
        <v>44214</v>
      </c>
      <c r="D25" s="303">
        <f t="shared" si="1"/>
        <v>0</v>
      </c>
    </row>
    <row r="26" spans="3:7" x14ac:dyDescent="0.45">
      <c r="C26" s="476">
        <f t="shared" ca="1" si="0"/>
        <v>44245</v>
      </c>
      <c r="D26" s="303">
        <f>IF($C$18="PAYMENT TERM NOT AVAILABLE FOR THIS PROPERTY",0,(D14*2%))</f>
        <v>0</v>
      </c>
    </row>
    <row r="27" spans="3:7" x14ac:dyDescent="0.45">
      <c r="C27" s="476">
        <f t="shared" ca="1" si="0"/>
        <v>44273</v>
      </c>
      <c r="D27" s="303">
        <f>D25</f>
        <v>0</v>
      </c>
    </row>
    <row r="28" spans="3:7" x14ac:dyDescent="0.45">
      <c r="C28" s="476">
        <f t="shared" ca="1" si="0"/>
        <v>44304</v>
      </c>
      <c r="D28" s="303">
        <f t="shared" si="1"/>
        <v>0</v>
      </c>
    </row>
    <row r="29" spans="3:7" x14ac:dyDescent="0.45">
      <c r="C29" s="476">
        <f t="shared" ca="1" si="0"/>
        <v>44334</v>
      </c>
      <c r="D29" s="303">
        <f t="shared" si="1"/>
        <v>0</v>
      </c>
    </row>
    <row r="30" spans="3:7" x14ac:dyDescent="0.45">
      <c r="C30" s="476">
        <f t="shared" ca="1" si="0"/>
        <v>44365</v>
      </c>
      <c r="D30" s="303">
        <f t="shared" si="1"/>
        <v>0</v>
      </c>
    </row>
    <row r="31" spans="3:7" x14ac:dyDescent="0.45">
      <c r="C31" s="476">
        <f t="shared" ca="1" si="0"/>
        <v>44395</v>
      </c>
      <c r="D31" s="303">
        <f t="shared" si="1"/>
        <v>0</v>
      </c>
    </row>
    <row r="32" spans="3:7" x14ac:dyDescent="0.45">
      <c r="C32" s="468">
        <f t="shared" ref="C32:C44" ca="1" si="2">EDATE(C31,1)</f>
        <v>44426</v>
      </c>
      <c r="D32" s="303">
        <f>D26</f>
        <v>0</v>
      </c>
    </row>
    <row r="33" spans="3:4" x14ac:dyDescent="0.45">
      <c r="C33" s="468">
        <f t="shared" ca="1" si="2"/>
        <v>44457</v>
      </c>
      <c r="D33" s="303">
        <f>D31</f>
        <v>0</v>
      </c>
    </row>
    <row r="34" spans="3:4" x14ac:dyDescent="0.45">
      <c r="C34" s="468">
        <f t="shared" ca="1" si="2"/>
        <v>44487</v>
      </c>
      <c r="D34" s="303">
        <f t="shared" si="1"/>
        <v>0</v>
      </c>
    </row>
    <row r="35" spans="3:4" x14ac:dyDescent="0.45">
      <c r="C35" s="468">
        <f t="shared" ca="1" si="2"/>
        <v>44518</v>
      </c>
      <c r="D35" s="303">
        <f t="shared" si="1"/>
        <v>0</v>
      </c>
    </row>
    <row r="36" spans="3:4" x14ac:dyDescent="0.45">
      <c r="C36" s="468">
        <f t="shared" ca="1" si="2"/>
        <v>44548</v>
      </c>
      <c r="D36" s="303">
        <f t="shared" si="1"/>
        <v>0</v>
      </c>
    </row>
    <row r="37" spans="3:4" x14ac:dyDescent="0.45">
      <c r="C37" s="468">
        <f t="shared" ca="1" si="2"/>
        <v>44579</v>
      </c>
      <c r="D37" s="303">
        <f t="shared" si="1"/>
        <v>0</v>
      </c>
    </row>
    <row r="38" spans="3:4" x14ac:dyDescent="0.45">
      <c r="C38" s="468">
        <f t="shared" ca="1" si="2"/>
        <v>44610</v>
      </c>
      <c r="D38" s="303">
        <f>D32</f>
        <v>0</v>
      </c>
    </row>
    <row r="39" spans="3:4" x14ac:dyDescent="0.45">
      <c r="C39" s="468">
        <f t="shared" ca="1" si="2"/>
        <v>44638</v>
      </c>
      <c r="D39" s="303">
        <f>D37</f>
        <v>0</v>
      </c>
    </row>
    <row r="40" spans="3:4" x14ac:dyDescent="0.45">
      <c r="C40" s="468">
        <f t="shared" ca="1" si="2"/>
        <v>44669</v>
      </c>
      <c r="D40" s="303">
        <f t="shared" si="1"/>
        <v>0</v>
      </c>
    </row>
    <row r="41" spans="3:4" x14ac:dyDescent="0.45">
      <c r="C41" s="468">
        <f t="shared" ca="1" si="2"/>
        <v>44699</v>
      </c>
      <c r="D41" s="303">
        <f t="shared" si="1"/>
        <v>0</v>
      </c>
    </row>
    <row r="42" spans="3:4" x14ac:dyDescent="0.45">
      <c r="C42" s="468">
        <f t="shared" ca="1" si="2"/>
        <v>44730</v>
      </c>
      <c r="D42" s="303">
        <f t="shared" si="1"/>
        <v>0</v>
      </c>
    </row>
    <row r="43" spans="3:4" x14ac:dyDescent="0.45">
      <c r="C43" s="468">
        <f t="shared" ca="1" si="2"/>
        <v>44760</v>
      </c>
      <c r="D43" s="303">
        <f t="shared" si="1"/>
        <v>0</v>
      </c>
    </row>
    <row r="44" spans="3:4" ht="19" thickBot="1" x14ac:dyDescent="0.5">
      <c r="C44" s="467">
        <f t="shared" ca="1" si="2"/>
        <v>44791</v>
      </c>
      <c r="D44" s="305">
        <f>IF($C$18="PAYMENT TERM NOT AVAILABLE FOR THIS PROPERTY",0,(D14-SUM(D20:D43)))</f>
        <v>0</v>
      </c>
    </row>
    <row r="45" spans="3:4" hidden="1" x14ac:dyDescent="0.45">
      <c r="C45" s="448">
        <f t="shared" ref="C45:C60" ca="1" si="3">EDATE(C44,1)</f>
        <v>44822</v>
      </c>
      <c r="D45" s="449"/>
    </row>
    <row r="46" spans="3:4" hidden="1" x14ac:dyDescent="0.45">
      <c r="C46" s="443">
        <f t="shared" ca="1" si="3"/>
        <v>44852</v>
      </c>
      <c r="D46" s="303"/>
    </row>
    <row r="47" spans="3:4" hidden="1" x14ac:dyDescent="0.45">
      <c r="C47" s="443">
        <f t="shared" ca="1" si="3"/>
        <v>44883</v>
      </c>
      <c r="D47" s="303"/>
    </row>
    <row r="48" spans="3:4" hidden="1" x14ac:dyDescent="0.45">
      <c r="C48" s="443">
        <f t="shared" ca="1" si="3"/>
        <v>44913</v>
      </c>
      <c r="D48" s="303"/>
    </row>
    <row r="49" spans="2:8" hidden="1" x14ac:dyDescent="0.45">
      <c r="C49" s="443">
        <f t="shared" ca="1" si="3"/>
        <v>44944</v>
      </c>
      <c r="D49" s="303"/>
    </row>
    <row r="50" spans="2:8" hidden="1" x14ac:dyDescent="0.45">
      <c r="C50" s="443">
        <f t="shared" ca="1" si="3"/>
        <v>44975</v>
      </c>
      <c r="D50" s="303"/>
    </row>
    <row r="51" spans="2:8" hidden="1" x14ac:dyDescent="0.45">
      <c r="C51" s="443">
        <f t="shared" ca="1" si="3"/>
        <v>45003</v>
      </c>
      <c r="D51" s="303"/>
    </row>
    <row r="52" spans="2:8" hidden="1" x14ac:dyDescent="0.45">
      <c r="C52" s="443">
        <f t="shared" ca="1" si="3"/>
        <v>45034</v>
      </c>
      <c r="D52" s="303"/>
    </row>
    <row r="53" spans="2:8" hidden="1" x14ac:dyDescent="0.45">
      <c r="C53" s="443">
        <f t="shared" ca="1" si="3"/>
        <v>45064</v>
      </c>
      <c r="D53" s="303"/>
    </row>
    <row r="54" spans="2:8" hidden="1" x14ac:dyDescent="0.45">
      <c r="C54" s="443">
        <f t="shared" ca="1" si="3"/>
        <v>45095</v>
      </c>
      <c r="D54" s="303"/>
    </row>
    <row r="55" spans="2:8" hidden="1" x14ac:dyDescent="0.45">
      <c r="C55" s="443">
        <f t="shared" ca="1" si="3"/>
        <v>45125</v>
      </c>
      <c r="D55" s="303"/>
    </row>
    <row r="56" spans="2:8" hidden="1" x14ac:dyDescent="0.45">
      <c r="C56" s="443">
        <f t="shared" ca="1" si="3"/>
        <v>45156</v>
      </c>
      <c r="D56" s="303"/>
    </row>
    <row r="57" spans="2:8" hidden="1" x14ac:dyDescent="0.45">
      <c r="C57" s="443">
        <f t="shared" ca="1" si="3"/>
        <v>45187</v>
      </c>
      <c r="D57" s="303"/>
    </row>
    <row r="58" spans="2:8" hidden="1" x14ac:dyDescent="0.45">
      <c r="C58" s="443">
        <f t="shared" ca="1" si="3"/>
        <v>45217</v>
      </c>
      <c r="D58" s="303"/>
    </row>
    <row r="59" spans="2:8" hidden="1" x14ac:dyDescent="0.45">
      <c r="C59" s="443">
        <f t="shared" ca="1" si="3"/>
        <v>45248</v>
      </c>
      <c r="D59" s="303"/>
    </row>
    <row r="60" spans="2:8" ht="19" hidden="1" thickBot="1" x14ac:dyDescent="0.5">
      <c r="C60" s="442">
        <f t="shared" ca="1" si="3"/>
        <v>45278</v>
      </c>
      <c r="D60" s="305"/>
    </row>
    <row r="61" spans="2:8" x14ac:dyDescent="0.45">
      <c r="C61" s="7" t="s">
        <v>614</v>
      </c>
    </row>
    <row r="62" spans="2:8" x14ac:dyDescent="0.45">
      <c r="C62" s="7"/>
    </row>
    <row r="63" spans="2:8" ht="37.5" customHeight="1" x14ac:dyDescent="0.45">
      <c r="B63" s="543" t="s">
        <v>608</v>
      </c>
      <c r="C63" s="543"/>
      <c r="D63" s="543"/>
      <c r="E63" s="543"/>
      <c r="F63" s="543"/>
      <c r="G63" s="543"/>
      <c r="H63" s="543"/>
    </row>
    <row r="64" spans="2:8" x14ac:dyDescent="0.45">
      <c r="B64" s="543" t="s">
        <v>937</v>
      </c>
      <c r="C64" s="543"/>
      <c r="D64" s="543"/>
      <c r="E64" s="543"/>
      <c r="F64" s="543"/>
      <c r="G64" s="543"/>
      <c r="H64" s="543"/>
    </row>
    <row r="65" spans="2:8" x14ac:dyDescent="0.45">
      <c r="B65" s="489" t="s">
        <v>938</v>
      </c>
      <c r="C65" s="490"/>
      <c r="D65" s="490"/>
      <c r="E65" s="490"/>
      <c r="F65" s="490"/>
      <c r="G65" s="490"/>
      <c r="H65" s="490"/>
    </row>
    <row r="66" spans="2:8" x14ac:dyDescent="0.45">
      <c r="B66" s="543" t="s">
        <v>603</v>
      </c>
      <c r="C66" s="543"/>
      <c r="D66" s="543"/>
      <c r="E66" s="543"/>
      <c r="F66" s="543"/>
      <c r="G66" s="543"/>
      <c r="H66" s="543"/>
    </row>
    <row r="67" spans="2:8" ht="18.75" customHeight="1" x14ac:dyDescent="0.45">
      <c r="B67" s="543" t="s">
        <v>604</v>
      </c>
      <c r="C67" s="543"/>
      <c r="D67" s="543"/>
      <c r="E67" s="543"/>
      <c r="F67" s="84"/>
      <c r="G67" s="84"/>
      <c r="H67" s="84"/>
    </row>
    <row r="68" spans="2:8" ht="18.649999999999999" customHeight="1" x14ac:dyDescent="0.45">
      <c r="B68" s="510" t="s">
        <v>940</v>
      </c>
      <c r="C68" s="510"/>
      <c r="D68" s="510"/>
      <c r="E68" s="510"/>
      <c r="F68" s="490"/>
      <c r="G68" s="84"/>
      <c r="H68" s="84"/>
    </row>
    <row r="69" spans="2:8" ht="18.649999999999999" customHeight="1" x14ac:dyDescent="0.45">
      <c r="B69" s="510" t="s">
        <v>933</v>
      </c>
      <c r="C69" s="510"/>
      <c r="D69" s="510"/>
      <c r="E69" s="510"/>
      <c r="F69" s="510"/>
      <c r="G69" s="510"/>
      <c r="H69" s="510"/>
    </row>
    <row r="70" spans="2:8" x14ac:dyDescent="0.45">
      <c r="B70" s="486" t="s">
        <v>936</v>
      </c>
      <c r="C70" s="486"/>
      <c r="D70" s="486"/>
      <c r="E70" s="486"/>
      <c r="F70" s="486"/>
      <c r="G70" s="84"/>
      <c r="H70" s="84"/>
    </row>
    <row r="71" spans="2:8" x14ac:dyDescent="0.45">
      <c r="B71" s="486" t="s">
        <v>935</v>
      </c>
      <c r="C71" s="484"/>
      <c r="D71" s="484"/>
      <c r="E71" s="484"/>
      <c r="F71" s="484"/>
      <c r="G71" s="84"/>
      <c r="H71" s="84"/>
    </row>
    <row r="72" spans="2:8" x14ac:dyDescent="0.45">
      <c r="B72" s="187"/>
      <c r="C72" s="187"/>
      <c r="D72" s="187"/>
      <c r="E72" s="187"/>
    </row>
    <row r="73" spans="2:8" x14ac:dyDescent="0.45">
      <c r="B73" s="187"/>
      <c r="C73" s="187"/>
      <c r="D73" s="187"/>
      <c r="E73" s="187"/>
    </row>
    <row r="74" spans="2:8" s="51" customFormat="1" x14ac:dyDescent="0.45">
      <c r="B74" s="192" t="s">
        <v>605</v>
      </c>
      <c r="C74" s="188"/>
      <c r="D74" s="188" t="s">
        <v>606</v>
      </c>
      <c r="E74" s="189"/>
    </row>
    <row r="75" spans="2:8" s="51" customFormat="1" x14ac:dyDescent="0.45">
      <c r="B75" s="193"/>
      <c r="C75" s="189"/>
      <c r="D75" s="189"/>
      <c r="E75" s="189"/>
    </row>
    <row r="76" spans="2:8" s="51" customFormat="1" x14ac:dyDescent="0.45">
      <c r="B76" s="193"/>
      <c r="C76" s="189"/>
      <c r="D76" s="189"/>
      <c r="E76" s="189"/>
    </row>
    <row r="77" spans="2:8" ht="19" thickBot="1" x14ac:dyDescent="0.5">
      <c r="B77" s="194"/>
      <c r="C77" s="187"/>
      <c r="D77" s="295"/>
      <c r="E77" s="295"/>
    </row>
    <row r="78" spans="2:8" x14ac:dyDescent="0.45">
      <c r="B78" s="84">
        <f>Input!D4</f>
        <v>0</v>
      </c>
      <c r="C78" s="187"/>
      <c r="D78" s="191">
        <f>Input!D5</f>
        <v>0</v>
      </c>
      <c r="E78" s="187"/>
    </row>
    <row r="79" spans="2:8" x14ac:dyDescent="0.45">
      <c r="B79" s="84"/>
      <c r="C79" s="187"/>
      <c r="D79" s="191"/>
      <c r="E79" s="187"/>
    </row>
    <row r="80" spans="2:8" s="51" customFormat="1" x14ac:dyDescent="0.45">
      <c r="B80" s="192" t="s">
        <v>607</v>
      </c>
      <c r="C80" s="189"/>
      <c r="D80" s="189"/>
      <c r="E80" s="189"/>
    </row>
    <row r="81" spans="2:5" s="51" customFormat="1" x14ac:dyDescent="0.45">
      <c r="B81" s="193"/>
      <c r="C81" s="189"/>
      <c r="D81" s="189"/>
      <c r="E81" s="189"/>
    </row>
    <row r="82" spans="2:5" s="51" customFormat="1" x14ac:dyDescent="0.45">
      <c r="B82" s="189"/>
      <c r="C82" s="189"/>
      <c r="D82" s="189"/>
      <c r="E82" s="189"/>
    </row>
    <row r="83" spans="2:5" ht="19" thickBot="1" x14ac:dyDescent="0.5">
      <c r="B83" s="295"/>
      <c r="C83" s="187"/>
      <c r="D83" s="187"/>
      <c r="E83" s="187"/>
    </row>
    <row r="84" spans="2:5" x14ac:dyDescent="0.45">
      <c r="B84" s="187">
        <f>Input!D6</f>
        <v>0</v>
      </c>
      <c r="C84" s="187"/>
      <c r="D84" s="187"/>
      <c r="E84" s="187"/>
    </row>
  </sheetData>
  <sheetProtection algorithmName="SHA-512" hashValue="EJrB7f6DgqozQ9szibVN8fVT7vPtOriszUpQo9kiDTxhQwUXKWTooHVn8ne8ngGMLhE0k1cHBeB2J56VYSIaig==" saltValue="BqT7eAA37adiDvyRCVz6dA==" spinCount="100000" sheet="1" objects="1" scenarios="1"/>
  <mergeCells count="11">
    <mergeCell ref="C1:D1"/>
    <mergeCell ref="B3:D3"/>
    <mergeCell ref="B4:D4"/>
    <mergeCell ref="C18:D18"/>
    <mergeCell ref="B63:H63"/>
    <mergeCell ref="E20:G20"/>
    <mergeCell ref="B68:E68"/>
    <mergeCell ref="B64:H64"/>
    <mergeCell ref="B66:H66"/>
    <mergeCell ref="B67:E67"/>
    <mergeCell ref="B69:H69"/>
  </mergeCells>
  <conditionalFormatting sqref="D78">
    <cfRule type="expression" dxfId="33" priority="6">
      <formula>$D$78=0</formula>
    </cfRule>
  </conditionalFormatting>
  <conditionalFormatting sqref="B78">
    <cfRule type="expression" dxfId="32" priority="5">
      <formula>$B$78=0</formula>
    </cfRule>
  </conditionalFormatting>
  <conditionalFormatting sqref="B84">
    <cfRule type="expression" dxfId="31" priority="4">
      <formula>$B$84=0</formula>
    </cfRule>
  </conditionalFormatting>
  <conditionalFormatting sqref="C5">
    <cfRule type="expression" dxfId="30" priority="3">
      <formula>$C$5=0</formula>
    </cfRule>
  </conditionalFormatting>
  <conditionalFormatting sqref="D5">
    <cfRule type="expression" dxfId="29" priority="2">
      <formula>$D$5=0</formula>
    </cfRule>
  </conditionalFormatting>
  <conditionalFormatting sqref="D7">
    <cfRule type="expression" dxfId="28" priority="1">
      <formula>$D$7=0</formula>
    </cfRule>
  </conditionalFormatting>
  <pageMargins left="0.7" right="0.7" top="0.75" bottom="0.75" header="0.3" footer="0.3"/>
  <pageSetup scale="5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4"/>
    <pageSetUpPr fitToPage="1"/>
  </sheetPr>
  <dimension ref="B1:G54"/>
  <sheetViews>
    <sheetView showGridLines="0" view="pageBreakPreview" zoomScale="70" zoomScaleNormal="100" zoomScaleSheetLayoutView="70" workbookViewId="0">
      <selection activeCell="D21" sqref="D21:E21"/>
    </sheetView>
  </sheetViews>
  <sheetFormatPr defaultColWidth="8.81640625" defaultRowHeight="18.5" x14ac:dyDescent="0.45"/>
  <cols>
    <col min="1" max="1" width="4.7265625" style="8" customWidth="1"/>
    <col min="2" max="2" width="31.81640625" style="8" customWidth="1"/>
    <col min="3" max="3" width="14.7265625" style="8" customWidth="1"/>
    <col min="4" max="4" width="21.54296875" style="8" customWidth="1"/>
    <col min="5" max="5" width="21.453125" style="8" hidden="1" customWidth="1"/>
    <col min="6" max="6" width="28.453125" style="8" customWidth="1"/>
    <col min="7" max="7" width="16" style="8" bestFit="1" customWidth="1"/>
    <col min="8" max="16384" width="8.81640625" style="8"/>
  </cols>
  <sheetData>
    <row r="1" spans="2:6" x14ac:dyDescent="0.45">
      <c r="B1" s="11" t="s">
        <v>598</v>
      </c>
      <c r="C1" s="544">
        <f>Input!D4</f>
        <v>0</v>
      </c>
      <c r="D1" s="545"/>
    </row>
    <row r="2" spans="2:6" ht="9" customHeight="1" thickBot="1" x14ac:dyDescent="0.5"/>
    <row r="3" spans="2:6" x14ac:dyDescent="0.45">
      <c r="B3" s="516" t="str">
        <f>"Brentville International - "&amp;Input!D7</f>
        <v>Brentville International - The Arborage</v>
      </c>
      <c r="C3" s="517"/>
      <c r="D3" s="518"/>
    </row>
    <row r="4" spans="2:6" x14ac:dyDescent="0.45">
      <c r="B4" s="519" t="str">
        <f>'Summary - All Clusters'!C5</f>
        <v>B-B2-L10</v>
      </c>
      <c r="C4" s="520"/>
      <c r="D4" s="521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30">
        <f>C5*10.76391</f>
        <v>1808.3368799999998</v>
      </c>
      <c r="F5" s="27"/>
    </row>
    <row r="6" spans="2:6" hidden="1" x14ac:dyDescent="0.45">
      <c r="B6" s="28" t="str">
        <f>IF(C6&gt;0,"House/Unit Area (approx):","")</f>
        <v/>
      </c>
      <c r="C6" s="29">
        <f>'Summary - All Clusters'!C7</f>
        <v>0</v>
      </c>
      <c r="D6" s="30">
        <f>IFERROR(C6*10.76391,"")</f>
        <v>0</v>
      </c>
    </row>
    <row r="7" spans="2:6" s="11" customFormat="1" x14ac:dyDescent="0.45">
      <c r="B7" s="32" t="str">
        <f>'Summary - All Clusters'!C60</f>
        <v>Net List Price:</v>
      </c>
      <c r="C7" s="40"/>
      <c r="D7" s="36">
        <f>Input!D12</f>
        <v>5641104</v>
      </c>
    </row>
    <row r="8" spans="2:6" x14ac:dyDescent="0.45">
      <c r="B8" s="131" t="str">
        <f>'Summary - All Clusters'!C61</f>
        <v>Add VAT:</v>
      </c>
      <c r="C8" s="38"/>
      <c r="D8" s="34">
        <f>D7*12%</f>
        <v>676932.48</v>
      </c>
    </row>
    <row r="9" spans="2:6" x14ac:dyDescent="0.45">
      <c r="B9" s="131" t="str">
        <f>'Summary - All Clusters'!C62</f>
        <v>Add Other Charges:</v>
      </c>
      <c r="C9" s="38"/>
      <c r="D9" s="34">
        <f>D7*4%</f>
        <v>225644.16</v>
      </c>
    </row>
    <row r="10" spans="2:6" x14ac:dyDescent="0.45">
      <c r="B10" s="131" t="s">
        <v>671</v>
      </c>
      <c r="C10" s="38"/>
      <c r="D10" s="34">
        <f>Input!D13</f>
        <v>0</v>
      </c>
    </row>
    <row r="11" spans="2:6" s="23" customFormat="1" x14ac:dyDescent="0.45">
      <c r="B11" s="162" t="s">
        <v>672</v>
      </c>
      <c r="C11" s="163"/>
      <c r="D11" s="168">
        <f>D10*50%</f>
        <v>0</v>
      </c>
    </row>
    <row r="12" spans="2:6" s="11" customFormat="1" ht="19" thickBot="1" x14ac:dyDescent="0.5">
      <c r="B12" s="33" t="str">
        <f>'Summary - All Clusters'!C66</f>
        <v>Total Contract Price:</v>
      </c>
      <c r="C12" s="41"/>
      <c r="D12" s="81">
        <f>ROUND(D7+D8+D9+D10-D11,-2)</f>
        <v>6543700</v>
      </c>
    </row>
    <row r="13" spans="2:6" s="11" customFormat="1" ht="19" hidden="1" thickBot="1" x14ac:dyDescent="0.5">
      <c r="B13" s="33" t="s">
        <v>610</v>
      </c>
      <c r="C13" s="41"/>
      <c r="D13" s="37">
        <f>(D12-D19-D20)*Input!D14*0</f>
        <v>0</v>
      </c>
      <c r="E13" s="133"/>
      <c r="F13" s="19"/>
    </row>
    <row r="14" spans="2:6" x14ac:dyDescent="0.45">
      <c r="B14" s="42" t="str">
        <f>'Summary - All Clusters'!B8</f>
        <v>Computation generated on:</v>
      </c>
      <c r="C14" s="10">
        <f ca="1">'Summary - All Clusters'!C8</f>
        <v>44061</v>
      </c>
    </row>
    <row r="15" spans="2:6" x14ac:dyDescent="0.45">
      <c r="B15" s="43" t="s">
        <v>599</v>
      </c>
    </row>
    <row r="16" spans="2:6" ht="19" thickBot="1" x14ac:dyDescent="0.5"/>
    <row r="17" spans="3:7" x14ac:dyDescent="0.45">
      <c r="C17" s="522" t="str">
        <f>IF(Input!D7="Prominence II",'Summary - All Clusters'!B54,"PAYMENT TERM NOT AVAILABLE FOR THIS PROPERTY")</f>
        <v>PAYMENT TERM NOT AVAILABLE FOR THIS PROPERTY</v>
      </c>
      <c r="D17" s="523"/>
      <c r="E17" s="523"/>
      <c r="F17" s="524"/>
    </row>
    <row r="18" spans="3:7" x14ac:dyDescent="0.45">
      <c r="C18" s="53" t="s">
        <v>600</v>
      </c>
      <c r="D18" s="44" t="s">
        <v>611</v>
      </c>
      <c r="E18" s="44" t="s">
        <v>612</v>
      </c>
      <c r="F18" s="46" t="s">
        <v>613</v>
      </c>
    </row>
    <row r="19" spans="3:7" x14ac:dyDescent="0.45">
      <c r="C19" s="54">
        <f ca="1">C14</f>
        <v>44061</v>
      </c>
      <c r="D19" s="45">
        <f>IF($C$17="PAYMENT TERM NOT AVAILABLE FOR THIS PROPERTY",0,50000)</f>
        <v>0</v>
      </c>
      <c r="E19" s="56"/>
      <c r="F19" s="47">
        <f>E19+D19</f>
        <v>0</v>
      </c>
    </row>
    <row r="20" spans="3:7" x14ac:dyDescent="0.45">
      <c r="C20" s="54">
        <f ca="1">EDATE(C19,1)</f>
        <v>44092</v>
      </c>
      <c r="D20" s="45">
        <f>IF($C$17="PAYMENT TERM NOT AVAILABLE FOR THIS PROPERTY",0,(D12*10%)-D19)</f>
        <v>0</v>
      </c>
      <c r="E20" s="56"/>
      <c r="F20" s="47">
        <f>E20+D20</f>
        <v>0</v>
      </c>
      <c r="G20" s="18"/>
    </row>
    <row r="21" spans="3:7" x14ac:dyDescent="0.45">
      <c r="C21" s="54">
        <f t="shared" ref="C21:C33" ca="1" si="0">EDATE(C20,1)</f>
        <v>44122</v>
      </c>
      <c r="D21" s="57">
        <f>IF($C$17="PAYMENT TERM NOT AVAILABLE FOR THIS PROPERTY",0,(D12*0.1)/12)</f>
        <v>0</v>
      </c>
      <c r="E21" s="45">
        <f>IF($C$17="PAYMENT TERM NOT AVAILABLE FOR THIS PROPERTY",0,$D$13)</f>
        <v>0</v>
      </c>
      <c r="F21" s="47">
        <f t="shared" ref="F21:F33" si="1">E21+D21</f>
        <v>0</v>
      </c>
    </row>
    <row r="22" spans="3:7" x14ac:dyDescent="0.45">
      <c r="C22" s="54">
        <f t="shared" ca="1" si="0"/>
        <v>44153</v>
      </c>
      <c r="D22" s="57">
        <f>D21</f>
        <v>0</v>
      </c>
      <c r="E22" s="45">
        <f t="shared" ref="E22:E33" si="2">IF($C$17="PAYMENT TERM NOT AVAILABLE FOR THIS PROPERTY",0,$D$13)</f>
        <v>0</v>
      </c>
      <c r="F22" s="47">
        <f t="shared" si="1"/>
        <v>0</v>
      </c>
    </row>
    <row r="23" spans="3:7" x14ac:dyDescent="0.45">
      <c r="C23" s="54">
        <f t="shared" ca="1" si="0"/>
        <v>44183</v>
      </c>
      <c r="D23" s="57">
        <f t="shared" ref="D23:D32" si="3">D22</f>
        <v>0</v>
      </c>
      <c r="E23" s="45">
        <f t="shared" si="2"/>
        <v>0</v>
      </c>
      <c r="F23" s="47">
        <f t="shared" si="1"/>
        <v>0</v>
      </c>
    </row>
    <row r="24" spans="3:7" x14ac:dyDescent="0.45">
      <c r="C24" s="54">
        <f t="shared" ca="1" si="0"/>
        <v>44214</v>
      </c>
      <c r="D24" s="57">
        <f t="shared" si="3"/>
        <v>0</v>
      </c>
      <c r="E24" s="45">
        <f t="shared" si="2"/>
        <v>0</v>
      </c>
      <c r="F24" s="47">
        <f t="shared" si="1"/>
        <v>0</v>
      </c>
    </row>
    <row r="25" spans="3:7" x14ac:dyDescent="0.45">
      <c r="C25" s="54">
        <f t="shared" ca="1" si="0"/>
        <v>44245</v>
      </c>
      <c r="D25" s="57">
        <f t="shared" si="3"/>
        <v>0</v>
      </c>
      <c r="E25" s="45">
        <f t="shared" si="2"/>
        <v>0</v>
      </c>
      <c r="F25" s="47">
        <f t="shared" si="1"/>
        <v>0</v>
      </c>
    </row>
    <row r="26" spans="3:7" x14ac:dyDescent="0.45">
      <c r="C26" s="54">
        <f t="shared" ca="1" si="0"/>
        <v>44273</v>
      </c>
      <c r="D26" s="57">
        <f t="shared" si="3"/>
        <v>0</v>
      </c>
      <c r="E26" s="45">
        <f t="shared" si="2"/>
        <v>0</v>
      </c>
      <c r="F26" s="47">
        <f t="shared" si="1"/>
        <v>0</v>
      </c>
    </row>
    <row r="27" spans="3:7" x14ac:dyDescent="0.45">
      <c r="C27" s="54">
        <f t="shared" ca="1" si="0"/>
        <v>44304</v>
      </c>
      <c r="D27" s="57">
        <f t="shared" si="3"/>
        <v>0</v>
      </c>
      <c r="E27" s="45">
        <f t="shared" si="2"/>
        <v>0</v>
      </c>
      <c r="F27" s="47">
        <f t="shared" si="1"/>
        <v>0</v>
      </c>
    </row>
    <row r="28" spans="3:7" x14ac:dyDescent="0.45">
      <c r="C28" s="54">
        <f t="shared" ca="1" si="0"/>
        <v>44334</v>
      </c>
      <c r="D28" s="57">
        <f t="shared" si="3"/>
        <v>0</v>
      </c>
      <c r="E28" s="45">
        <f t="shared" si="2"/>
        <v>0</v>
      </c>
      <c r="F28" s="47">
        <f t="shared" si="1"/>
        <v>0</v>
      </c>
    </row>
    <row r="29" spans="3:7" x14ac:dyDescent="0.45">
      <c r="C29" s="54">
        <f t="shared" ca="1" si="0"/>
        <v>44365</v>
      </c>
      <c r="D29" s="57">
        <f t="shared" si="3"/>
        <v>0</v>
      </c>
      <c r="E29" s="45">
        <f t="shared" si="2"/>
        <v>0</v>
      </c>
      <c r="F29" s="47">
        <f t="shared" si="1"/>
        <v>0</v>
      </c>
    </row>
    <row r="30" spans="3:7" x14ac:dyDescent="0.45">
      <c r="C30" s="54">
        <f t="shared" ca="1" si="0"/>
        <v>44395</v>
      </c>
      <c r="D30" s="57">
        <f t="shared" si="3"/>
        <v>0</v>
      </c>
      <c r="E30" s="45">
        <f t="shared" si="2"/>
        <v>0</v>
      </c>
      <c r="F30" s="47">
        <f t="shared" si="1"/>
        <v>0</v>
      </c>
    </row>
    <row r="31" spans="3:7" x14ac:dyDescent="0.45">
      <c r="C31" s="54">
        <f t="shared" ca="1" si="0"/>
        <v>44426</v>
      </c>
      <c r="D31" s="57">
        <f t="shared" si="3"/>
        <v>0</v>
      </c>
      <c r="E31" s="45">
        <f t="shared" si="2"/>
        <v>0</v>
      </c>
      <c r="F31" s="47">
        <f t="shared" si="1"/>
        <v>0</v>
      </c>
    </row>
    <row r="32" spans="3:7" x14ac:dyDescent="0.45">
      <c r="C32" s="54">
        <f t="shared" ca="1" si="0"/>
        <v>44457</v>
      </c>
      <c r="D32" s="57">
        <f t="shared" si="3"/>
        <v>0</v>
      </c>
      <c r="E32" s="45">
        <f t="shared" si="2"/>
        <v>0</v>
      </c>
      <c r="F32" s="47">
        <f t="shared" si="1"/>
        <v>0</v>
      </c>
    </row>
    <row r="33" spans="2:7" ht="19" thickBot="1" x14ac:dyDescent="0.5">
      <c r="C33" s="55">
        <f t="shared" ca="1" si="0"/>
        <v>44487</v>
      </c>
      <c r="D33" s="58">
        <f>IF($C$17="PAYMENT TERM NOT AVAILABLE FOR THIS PROPERTY",0,0.8*D12)</f>
        <v>0</v>
      </c>
      <c r="E33" s="59">
        <f t="shared" si="2"/>
        <v>0</v>
      </c>
      <c r="F33" s="48">
        <f t="shared" si="1"/>
        <v>0</v>
      </c>
    </row>
    <row r="34" spans="2:7" x14ac:dyDescent="0.45">
      <c r="C34" s="7" t="s">
        <v>614</v>
      </c>
    </row>
    <row r="35" spans="2:7" x14ac:dyDescent="0.45">
      <c r="C35" s="7"/>
    </row>
    <row r="36" spans="2:7" ht="37.5" customHeight="1" x14ac:dyDescent="0.45">
      <c r="B36" s="537" t="s">
        <v>608</v>
      </c>
      <c r="C36" s="537"/>
      <c r="D36" s="537"/>
      <c r="E36" s="537"/>
      <c r="F36" s="537"/>
      <c r="G36" s="537"/>
    </row>
    <row r="37" spans="2:7" ht="37.5" customHeight="1" x14ac:dyDescent="0.45">
      <c r="B37" s="537" t="s">
        <v>602</v>
      </c>
      <c r="C37" s="537"/>
      <c r="D37" s="537"/>
      <c r="E37" s="537"/>
      <c r="F37" s="537"/>
      <c r="G37" s="537"/>
    </row>
    <row r="38" spans="2:7" ht="37.5" customHeight="1" x14ac:dyDescent="0.45">
      <c r="B38" s="537" t="s">
        <v>603</v>
      </c>
      <c r="C38" s="537"/>
      <c r="D38" s="537"/>
      <c r="E38" s="537"/>
      <c r="F38" s="537"/>
      <c r="G38" s="537"/>
    </row>
    <row r="39" spans="2:7" ht="18.75" customHeight="1" x14ac:dyDescent="0.45">
      <c r="B39" s="537" t="s">
        <v>604</v>
      </c>
      <c r="C39" s="537"/>
      <c r="D39" s="537"/>
      <c r="E39" s="537"/>
      <c r="F39" s="537"/>
      <c r="G39" s="537"/>
    </row>
    <row r="41" spans="2:7" x14ac:dyDescent="0.45">
      <c r="B41" s="8" t="s">
        <v>112</v>
      </c>
    </row>
    <row r="44" spans="2:7" s="51" customFormat="1" x14ac:dyDescent="0.45">
      <c r="B44" s="165" t="s">
        <v>605</v>
      </c>
      <c r="C44" s="165"/>
      <c r="D44" s="165" t="s">
        <v>606</v>
      </c>
      <c r="E44" s="165"/>
    </row>
    <row r="45" spans="2:7" s="51" customFormat="1" x14ac:dyDescent="0.45"/>
    <row r="46" spans="2:7" s="51" customFormat="1" x14ac:dyDescent="0.45"/>
    <row r="47" spans="2:7" ht="19" thickBot="1" x14ac:dyDescent="0.5">
      <c r="B47" s="49"/>
      <c r="D47" s="514"/>
      <c r="E47" s="514"/>
      <c r="F47" s="195"/>
    </row>
    <row r="48" spans="2:7" x14ac:dyDescent="0.45">
      <c r="B48" s="8">
        <f>Input!D4</f>
        <v>0</v>
      </c>
      <c r="D48" s="50">
        <f>Input!D5</f>
        <v>0</v>
      </c>
    </row>
    <row r="49" spans="2:4" x14ac:dyDescent="0.45">
      <c r="D49" s="50"/>
    </row>
    <row r="50" spans="2:4" s="51" customFormat="1" x14ac:dyDescent="0.45">
      <c r="B50" s="165" t="s">
        <v>607</v>
      </c>
    </row>
    <row r="51" spans="2:4" s="51" customFormat="1" x14ac:dyDescent="0.45"/>
    <row r="52" spans="2:4" s="51" customFormat="1" x14ac:dyDescent="0.45"/>
    <row r="53" spans="2:4" ht="19" thickBot="1" x14ac:dyDescent="0.5">
      <c r="B53" s="49"/>
    </row>
    <row r="54" spans="2:4" x14ac:dyDescent="0.45">
      <c r="B54" s="8">
        <f>Input!D6</f>
        <v>0</v>
      </c>
    </row>
  </sheetData>
  <mergeCells count="9">
    <mergeCell ref="C1:D1"/>
    <mergeCell ref="B39:G39"/>
    <mergeCell ref="D47:E47"/>
    <mergeCell ref="B3:D3"/>
    <mergeCell ref="B4:D4"/>
    <mergeCell ref="C17:F17"/>
    <mergeCell ref="B36:G36"/>
    <mergeCell ref="B37:G37"/>
    <mergeCell ref="B38:G38"/>
  </mergeCells>
  <conditionalFormatting sqref="D48">
    <cfRule type="expression" dxfId="27" priority="13">
      <formula>$D$48=0</formula>
    </cfRule>
  </conditionalFormatting>
  <conditionalFormatting sqref="B48">
    <cfRule type="expression" dxfId="26" priority="11">
      <formula>$B$48=0</formula>
    </cfRule>
  </conditionalFormatting>
  <conditionalFormatting sqref="B54">
    <cfRule type="expression" dxfId="25" priority="10">
      <formula>$B$54=0</formula>
    </cfRule>
  </conditionalFormatting>
  <conditionalFormatting sqref="C6">
    <cfRule type="expression" dxfId="24" priority="9">
      <formula>$C$6=0</formula>
    </cfRule>
  </conditionalFormatting>
  <conditionalFormatting sqref="D6">
    <cfRule type="expression" dxfId="23" priority="8">
      <formula>$D$6=0</formula>
    </cfRule>
  </conditionalFormatting>
  <conditionalFormatting sqref="D10">
    <cfRule type="expression" dxfId="22" priority="6">
      <formula>$D$10=0</formula>
    </cfRule>
  </conditionalFormatting>
  <conditionalFormatting sqref="D11">
    <cfRule type="expression" dxfId="21" priority="5">
      <formula>$D$11=0</formula>
    </cfRule>
  </conditionalFormatting>
  <conditionalFormatting sqref="C5">
    <cfRule type="expression" dxfId="20" priority="4">
      <formula>$C$5=0</formula>
    </cfRule>
  </conditionalFormatting>
  <conditionalFormatting sqref="D5">
    <cfRule type="expression" dxfId="19" priority="3">
      <formula>$D$5=0</formula>
    </cfRule>
  </conditionalFormatting>
  <pageMargins left="0.7" right="0.7" top="0.75" bottom="0.75" header="0.3" footer="0.3"/>
  <pageSetup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4"/>
    <pageSetUpPr fitToPage="1"/>
  </sheetPr>
  <dimension ref="B1:G64"/>
  <sheetViews>
    <sheetView showGridLines="0" view="pageBreakPreview" zoomScale="70" zoomScaleNormal="100" zoomScaleSheetLayoutView="70" workbookViewId="0">
      <selection activeCell="F25" sqref="F25"/>
    </sheetView>
  </sheetViews>
  <sheetFormatPr defaultColWidth="8.81640625" defaultRowHeight="18.5" x14ac:dyDescent="0.45"/>
  <cols>
    <col min="1" max="1" width="5.453125" style="8" customWidth="1"/>
    <col min="2" max="2" width="30.1796875" style="8" customWidth="1"/>
    <col min="3" max="3" width="17.1796875" style="8" customWidth="1"/>
    <col min="4" max="4" width="22.7265625" style="8" customWidth="1"/>
    <col min="5" max="5" width="21.453125" style="8" hidden="1" customWidth="1"/>
    <col min="6" max="6" width="28.453125" style="8" customWidth="1"/>
    <col min="7" max="7" width="18.26953125" style="8" bestFit="1" customWidth="1"/>
    <col min="8" max="16384" width="8.81640625" style="8"/>
  </cols>
  <sheetData>
    <row r="1" spans="2:6" x14ac:dyDescent="0.45">
      <c r="B1" s="11" t="s">
        <v>598</v>
      </c>
      <c r="C1" s="544">
        <f>Input!D4</f>
        <v>0</v>
      </c>
      <c r="D1" s="545"/>
    </row>
    <row r="2" spans="2:6" ht="9" customHeight="1" thickBot="1" x14ac:dyDescent="0.5"/>
    <row r="3" spans="2:6" x14ac:dyDescent="0.45">
      <c r="B3" s="516" t="str">
        <f>"Brentville International - "&amp;Input!D7</f>
        <v>Brentville International - The Arborage</v>
      </c>
      <c r="C3" s="517"/>
      <c r="D3" s="518"/>
    </row>
    <row r="4" spans="2:6" x14ac:dyDescent="0.45">
      <c r="B4" s="519" t="str">
        <f>'Summary - All Clusters'!C5</f>
        <v>B-B2-L10</v>
      </c>
      <c r="C4" s="520"/>
      <c r="D4" s="521"/>
      <c r="F4" s="16" t="str">
        <f>LEFT(B4,2)</f>
        <v>B-</v>
      </c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00">
        <f>C5*10.76391</f>
        <v>1808.3368799999998</v>
      </c>
      <c r="F5" s="27"/>
    </row>
    <row r="6" spans="2:6" hidden="1" x14ac:dyDescent="0.45">
      <c r="B6" s="28" t="str">
        <f>IF(C6&gt;0,"House/Unit Area (approx):","")</f>
        <v/>
      </c>
      <c r="C6" s="29">
        <f>'Summary - All Clusters'!C7</f>
        <v>0</v>
      </c>
      <c r="D6" s="200">
        <f>IFERROR(C6*10.76391,"")</f>
        <v>0</v>
      </c>
    </row>
    <row r="7" spans="2:6" s="11" customFormat="1" hidden="1" x14ac:dyDescent="0.45">
      <c r="B7" s="32" t="str">
        <f>'Summary - All Clusters'!C56</f>
        <v>Total List Price</v>
      </c>
      <c r="C7" s="40"/>
      <c r="D7" s="201">
        <f>'Summary - All Clusters'!E56</f>
        <v>0</v>
      </c>
    </row>
    <row r="8" spans="2:6" s="23" customFormat="1" hidden="1" x14ac:dyDescent="0.45">
      <c r="B8" s="31" t="str">
        <f>'Summary - All Clusters'!C57</f>
        <v/>
      </c>
      <c r="C8" s="39"/>
      <c r="D8" s="205">
        <f>'Summary - All Clusters'!E57</f>
        <v>0</v>
      </c>
    </row>
    <row r="9" spans="2:6" s="23" customFormat="1" hidden="1" x14ac:dyDescent="0.45">
      <c r="B9" s="31" t="str">
        <f>'Summary - All Clusters'!C58</f>
        <v/>
      </c>
      <c r="C9" s="39"/>
      <c r="D9" s="205">
        <f>'Summary - All Clusters'!E58</f>
        <v>0</v>
      </c>
    </row>
    <row r="10" spans="2:6" s="23" customFormat="1" hidden="1" x14ac:dyDescent="0.45">
      <c r="B10" s="31" t="str">
        <f>'Summary - All Clusters'!C59</f>
        <v/>
      </c>
      <c r="C10" s="39"/>
      <c r="D10" s="205">
        <f>'Summary - All Clusters'!E59</f>
        <v>0</v>
      </c>
    </row>
    <row r="11" spans="2:6" s="11" customFormat="1" x14ac:dyDescent="0.45">
      <c r="B11" s="32" t="str">
        <f>'Summary - All Clusters'!C60</f>
        <v>Net List Price:</v>
      </c>
      <c r="C11" s="40"/>
      <c r="D11" s="201">
        <f>Input!D12</f>
        <v>5641104</v>
      </c>
    </row>
    <row r="12" spans="2:6" x14ac:dyDescent="0.45">
      <c r="B12" s="131" t="str">
        <f>'Summary - All Clusters'!C61</f>
        <v>Add VAT:</v>
      </c>
      <c r="C12" s="38"/>
      <c r="D12" s="203">
        <f>D11*12%</f>
        <v>676932.48</v>
      </c>
    </row>
    <row r="13" spans="2:6" x14ac:dyDescent="0.45">
      <c r="B13" s="131" t="str">
        <f>'Summary - All Clusters'!C62</f>
        <v>Add Other Charges:</v>
      </c>
      <c r="C13" s="38"/>
      <c r="D13" s="203">
        <f>D11*4%</f>
        <v>225644.16</v>
      </c>
    </row>
    <row r="14" spans="2:6" hidden="1" x14ac:dyDescent="0.45">
      <c r="B14" s="28" t="str">
        <f>'Summary - All Clusters'!C63</f>
        <v/>
      </c>
      <c r="C14" s="38"/>
      <c r="D14" s="203">
        <f>'Summary - All Clusters'!E63</f>
        <v>0</v>
      </c>
    </row>
    <row r="15" spans="2:6" s="23" customFormat="1" hidden="1" x14ac:dyDescent="0.45">
      <c r="B15" s="180" t="str">
        <f>'Summary - All Clusters'!C64</f>
        <v/>
      </c>
      <c r="C15" s="163"/>
      <c r="D15" s="206">
        <f>'Summary - All Clusters'!E64</f>
        <v>0</v>
      </c>
    </row>
    <row r="16" spans="2:6" s="11" customFormat="1" ht="19" thickBot="1" x14ac:dyDescent="0.5">
      <c r="B16" s="33" t="str">
        <f>'Summary - All Clusters'!C66</f>
        <v>Total Contract Price:</v>
      </c>
      <c r="C16" s="41"/>
      <c r="D16" s="207">
        <f>ROUND(D11+D12+D13,-2)</f>
        <v>6543700</v>
      </c>
    </row>
    <row r="17" spans="2:7" s="11" customFormat="1" ht="19" hidden="1" thickBot="1" x14ac:dyDescent="0.5">
      <c r="B17" s="33" t="s">
        <v>610</v>
      </c>
      <c r="C17" s="41"/>
      <c r="D17" s="37">
        <f>(D16-D23-D24)*Input!D14*0</f>
        <v>0</v>
      </c>
      <c r="E17" s="52"/>
      <c r="F17" s="19"/>
    </row>
    <row r="18" spans="2:7" x14ac:dyDescent="0.45">
      <c r="B18" s="42" t="str">
        <f>'Summary - All Clusters'!B8</f>
        <v>Computation generated on:</v>
      </c>
      <c r="C18" s="10">
        <f ca="1">'Summary - All Clusters'!C8</f>
        <v>44061</v>
      </c>
    </row>
    <row r="19" spans="2:7" x14ac:dyDescent="0.45">
      <c r="B19" s="43" t="s">
        <v>599</v>
      </c>
    </row>
    <row r="20" spans="2:7" ht="19" thickBot="1" x14ac:dyDescent="0.5"/>
    <row r="21" spans="2:7" x14ac:dyDescent="0.45">
      <c r="C21" s="522" t="str">
        <f>IF(AND(Input!D7=Input!H3,'20-40-40'!F4="A-"),'20-40-40'!G21,"PAYMENT TERM NOT AVAILABLE FOR THIS PROPERTY")</f>
        <v>PAYMENT TERM NOT AVAILABLE FOR THIS PROPERTY</v>
      </c>
      <c r="D21" s="523"/>
      <c r="E21" s="523"/>
      <c r="F21" s="524"/>
    </row>
    <row r="22" spans="2:7" x14ac:dyDescent="0.45">
      <c r="C22" s="53" t="s">
        <v>600</v>
      </c>
      <c r="D22" s="44" t="s">
        <v>611</v>
      </c>
      <c r="E22" s="44" t="s">
        <v>612</v>
      </c>
      <c r="F22" s="46" t="s">
        <v>613</v>
      </c>
    </row>
    <row r="23" spans="2:7" x14ac:dyDescent="0.45">
      <c r="C23" s="54">
        <f ca="1">C18</f>
        <v>44061</v>
      </c>
      <c r="D23" s="45">
        <f>IF($C$21="PAYMENT TERM NOT AVAILABLE FOR THIS PROPERTY",0,50000)</f>
        <v>0</v>
      </c>
      <c r="E23" s="56"/>
      <c r="F23" s="47">
        <f>E23+D23</f>
        <v>0</v>
      </c>
      <c r="G23" s="18"/>
    </row>
    <row r="24" spans="2:7" x14ac:dyDescent="0.45">
      <c r="C24" s="54">
        <f ca="1">EDATE(C23,1)</f>
        <v>44092</v>
      </c>
      <c r="D24" s="45">
        <f>IF($C$21="PAYMENT TERM NOT AVAILABLE FOR THIS PROPERTY",0,(D16*0.2)-D23)</f>
        <v>0</v>
      </c>
      <c r="E24" s="56"/>
      <c r="F24" s="47">
        <f>E24+D24</f>
        <v>0</v>
      </c>
      <c r="G24" s="18"/>
    </row>
    <row r="25" spans="2:7" x14ac:dyDescent="0.45">
      <c r="C25" s="54">
        <f t="shared" ref="C25:C43" ca="1" si="0">EDATE(C24,1)</f>
        <v>44122</v>
      </c>
      <c r="D25" s="45">
        <f>IF($C$21="PAYMENT TERM NOT AVAILABLE FOR THIS PROPERTY",0,(D16*0.4)/18)</f>
        <v>0</v>
      </c>
      <c r="E25" s="45">
        <f>IF($C$21="PAYMENT TERM NOT AVAILABLE FOR THIS PROPERTY",0,$D$17)</f>
        <v>0</v>
      </c>
      <c r="F25" s="47">
        <f t="shared" ref="F25:F43" si="1">E25+D25</f>
        <v>0</v>
      </c>
      <c r="G25" s="9"/>
    </row>
    <row r="26" spans="2:7" x14ac:dyDescent="0.45">
      <c r="C26" s="54">
        <f t="shared" ca="1" si="0"/>
        <v>44153</v>
      </c>
      <c r="D26" s="57">
        <f>D25</f>
        <v>0</v>
      </c>
      <c r="E26" s="45">
        <f t="shared" ref="E26:E43" si="2">IF($C$21="PAYMENT TERM NOT AVAILABLE FOR THIS PROPERTY",0,$D$17)</f>
        <v>0</v>
      </c>
      <c r="F26" s="47">
        <f t="shared" si="1"/>
        <v>0</v>
      </c>
      <c r="G26" s="9"/>
    </row>
    <row r="27" spans="2:7" x14ac:dyDescent="0.45">
      <c r="C27" s="54">
        <f t="shared" ca="1" si="0"/>
        <v>44183</v>
      </c>
      <c r="D27" s="57">
        <f t="shared" ref="D27:D42" si="3">D26</f>
        <v>0</v>
      </c>
      <c r="E27" s="45">
        <f t="shared" si="2"/>
        <v>0</v>
      </c>
      <c r="F27" s="47">
        <f t="shared" si="1"/>
        <v>0</v>
      </c>
      <c r="G27" s="9"/>
    </row>
    <row r="28" spans="2:7" x14ac:dyDescent="0.45">
      <c r="C28" s="54">
        <f t="shared" ca="1" si="0"/>
        <v>44214</v>
      </c>
      <c r="D28" s="57">
        <f t="shared" si="3"/>
        <v>0</v>
      </c>
      <c r="E28" s="45">
        <f t="shared" si="2"/>
        <v>0</v>
      </c>
      <c r="F28" s="47">
        <f t="shared" si="1"/>
        <v>0</v>
      </c>
      <c r="G28" s="9"/>
    </row>
    <row r="29" spans="2:7" x14ac:dyDescent="0.45">
      <c r="C29" s="54">
        <f t="shared" ca="1" si="0"/>
        <v>44245</v>
      </c>
      <c r="D29" s="57">
        <f t="shared" si="3"/>
        <v>0</v>
      </c>
      <c r="E29" s="45">
        <f t="shared" si="2"/>
        <v>0</v>
      </c>
      <c r="F29" s="47">
        <f t="shared" si="1"/>
        <v>0</v>
      </c>
      <c r="G29" s="9"/>
    </row>
    <row r="30" spans="2:7" x14ac:dyDescent="0.45">
      <c r="C30" s="54">
        <f t="shared" ca="1" si="0"/>
        <v>44273</v>
      </c>
      <c r="D30" s="57">
        <f t="shared" si="3"/>
        <v>0</v>
      </c>
      <c r="E30" s="45">
        <f t="shared" si="2"/>
        <v>0</v>
      </c>
      <c r="F30" s="47">
        <f t="shared" si="1"/>
        <v>0</v>
      </c>
      <c r="G30" s="9"/>
    </row>
    <row r="31" spans="2:7" x14ac:dyDescent="0.45">
      <c r="C31" s="54">
        <f t="shared" ca="1" si="0"/>
        <v>44304</v>
      </c>
      <c r="D31" s="57">
        <f t="shared" si="3"/>
        <v>0</v>
      </c>
      <c r="E31" s="45">
        <f t="shared" si="2"/>
        <v>0</v>
      </c>
      <c r="F31" s="47">
        <f t="shared" si="1"/>
        <v>0</v>
      </c>
      <c r="G31" s="9"/>
    </row>
    <row r="32" spans="2:7" x14ac:dyDescent="0.45">
      <c r="C32" s="54">
        <f t="shared" ca="1" si="0"/>
        <v>44334</v>
      </c>
      <c r="D32" s="57">
        <f t="shared" si="3"/>
        <v>0</v>
      </c>
      <c r="E32" s="45">
        <f t="shared" si="2"/>
        <v>0</v>
      </c>
      <c r="F32" s="47">
        <f t="shared" si="1"/>
        <v>0</v>
      </c>
      <c r="G32" s="9"/>
    </row>
    <row r="33" spans="2:7" x14ac:dyDescent="0.45">
      <c r="C33" s="54">
        <f t="shared" ca="1" si="0"/>
        <v>44365</v>
      </c>
      <c r="D33" s="57">
        <f t="shared" si="3"/>
        <v>0</v>
      </c>
      <c r="E33" s="45">
        <f t="shared" si="2"/>
        <v>0</v>
      </c>
      <c r="F33" s="47">
        <f t="shared" si="1"/>
        <v>0</v>
      </c>
      <c r="G33" s="9"/>
    </row>
    <row r="34" spans="2:7" x14ac:dyDescent="0.45">
      <c r="C34" s="54">
        <f t="shared" ca="1" si="0"/>
        <v>44395</v>
      </c>
      <c r="D34" s="57">
        <f t="shared" si="3"/>
        <v>0</v>
      </c>
      <c r="E34" s="45">
        <f t="shared" si="2"/>
        <v>0</v>
      </c>
      <c r="F34" s="47">
        <f t="shared" si="1"/>
        <v>0</v>
      </c>
      <c r="G34" s="9"/>
    </row>
    <row r="35" spans="2:7" x14ac:dyDescent="0.45">
      <c r="C35" s="54">
        <f t="shared" ca="1" si="0"/>
        <v>44426</v>
      </c>
      <c r="D35" s="57">
        <f t="shared" si="3"/>
        <v>0</v>
      </c>
      <c r="E35" s="45">
        <f t="shared" si="2"/>
        <v>0</v>
      </c>
      <c r="F35" s="47">
        <f t="shared" si="1"/>
        <v>0</v>
      </c>
      <c r="G35" s="9"/>
    </row>
    <row r="36" spans="2:7" x14ac:dyDescent="0.45">
      <c r="C36" s="54">
        <f t="shared" ca="1" si="0"/>
        <v>44457</v>
      </c>
      <c r="D36" s="57">
        <f t="shared" si="3"/>
        <v>0</v>
      </c>
      <c r="E36" s="45">
        <f t="shared" si="2"/>
        <v>0</v>
      </c>
      <c r="F36" s="47">
        <f t="shared" ref="F36:F41" si="4">E36+D36</f>
        <v>0</v>
      </c>
      <c r="G36" s="9"/>
    </row>
    <row r="37" spans="2:7" x14ac:dyDescent="0.45">
      <c r="C37" s="54">
        <f t="shared" ca="1" si="0"/>
        <v>44487</v>
      </c>
      <c r="D37" s="57">
        <f t="shared" si="3"/>
        <v>0</v>
      </c>
      <c r="E37" s="45">
        <f t="shared" si="2"/>
        <v>0</v>
      </c>
      <c r="F37" s="47">
        <f t="shared" si="4"/>
        <v>0</v>
      </c>
      <c r="G37" s="9"/>
    </row>
    <row r="38" spans="2:7" x14ac:dyDescent="0.45">
      <c r="C38" s="54">
        <f t="shared" ca="1" si="0"/>
        <v>44518</v>
      </c>
      <c r="D38" s="57">
        <f t="shared" si="3"/>
        <v>0</v>
      </c>
      <c r="E38" s="45">
        <f t="shared" si="2"/>
        <v>0</v>
      </c>
      <c r="F38" s="47">
        <f t="shared" si="4"/>
        <v>0</v>
      </c>
      <c r="G38" s="9"/>
    </row>
    <row r="39" spans="2:7" x14ac:dyDescent="0.45">
      <c r="C39" s="54">
        <f t="shared" ca="1" si="0"/>
        <v>44548</v>
      </c>
      <c r="D39" s="57">
        <f t="shared" si="3"/>
        <v>0</v>
      </c>
      <c r="E39" s="45">
        <f t="shared" si="2"/>
        <v>0</v>
      </c>
      <c r="F39" s="47">
        <f t="shared" si="4"/>
        <v>0</v>
      </c>
      <c r="G39" s="9"/>
    </row>
    <row r="40" spans="2:7" x14ac:dyDescent="0.45">
      <c r="C40" s="54">
        <f t="shared" ca="1" si="0"/>
        <v>44579</v>
      </c>
      <c r="D40" s="57">
        <f t="shared" si="3"/>
        <v>0</v>
      </c>
      <c r="E40" s="45">
        <f t="shared" si="2"/>
        <v>0</v>
      </c>
      <c r="F40" s="47">
        <f t="shared" si="4"/>
        <v>0</v>
      </c>
      <c r="G40" s="9"/>
    </row>
    <row r="41" spans="2:7" x14ac:dyDescent="0.45">
      <c r="C41" s="54">
        <f t="shared" ca="1" si="0"/>
        <v>44610</v>
      </c>
      <c r="D41" s="57">
        <f t="shared" si="3"/>
        <v>0</v>
      </c>
      <c r="E41" s="45">
        <f t="shared" si="2"/>
        <v>0</v>
      </c>
      <c r="F41" s="47">
        <f t="shared" si="4"/>
        <v>0</v>
      </c>
      <c r="G41" s="9"/>
    </row>
    <row r="42" spans="2:7" x14ac:dyDescent="0.45">
      <c r="C42" s="54">
        <f t="shared" ca="1" si="0"/>
        <v>44638</v>
      </c>
      <c r="D42" s="57">
        <f t="shared" si="3"/>
        <v>0</v>
      </c>
      <c r="E42" s="45">
        <f t="shared" si="2"/>
        <v>0</v>
      </c>
      <c r="F42" s="47">
        <f t="shared" si="1"/>
        <v>0</v>
      </c>
      <c r="G42" s="9"/>
    </row>
    <row r="43" spans="2:7" ht="19" thickBot="1" x14ac:dyDescent="0.5">
      <c r="C43" s="55">
        <f t="shared" ca="1" si="0"/>
        <v>44669</v>
      </c>
      <c r="D43" s="58">
        <f>IF($C$21="PAYMENT TERM NOT AVAILABLE FOR THIS PROPERTY",0,D16*0.4)</f>
        <v>0</v>
      </c>
      <c r="E43" s="59">
        <f t="shared" si="2"/>
        <v>0</v>
      </c>
      <c r="F43" s="48">
        <f t="shared" si="1"/>
        <v>0</v>
      </c>
      <c r="G43" s="18"/>
    </row>
    <row r="44" spans="2:7" x14ac:dyDescent="0.45">
      <c r="C44" s="7" t="s">
        <v>614</v>
      </c>
    </row>
    <row r="45" spans="2:7" x14ac:dyDescent="0.45">
      <c r="C45" s="7"/>
    </row>
    <row r="46" spans="2:7" ht="37.5" customHeight="1" x14ac:dyDescent="0.45">
      <c r="B46" s="537" t="s">
        <v>608</v>
      </c>
      <c r="C46" s="537"/>
      <c r="D46" s="537"/>
      <c r="E46" s="537"/>
      <c r="F46" s="537"/>
      <c r="G46" s="537"/>
    </row>
    <row r="47" spans="2:7" ht="37.5" customHeight="1" x14ac:dyDescent="0.45">
      <c r="B47" s="537" t="s">
        <v>602</v>
      </c>
      <c r="C47" s="537"/>
      <c r="D47" s="537"/>
      <c r="E47" s="537"/>
      <c r="F47" s="537"/>
      <c r="G47" s="537"/>
    </row>
    <row r="48" spans="2:7" ht="37.5" customHeight="1" x14ac:dyDescent="0.45">
      <c r="B48" s="537" t="s">
        <v>603</v>
      </c>
      <c r="C48" s="537"/>
      <c r="D48" s="537"/>
      <c r="E48" s="537"/>
      <c r="F48" s="537"/>
      <c r="G48" s="537"/>
    </row>
    <row r="49" spans="2:7" ht="18.75" customHeight="1" x14ac:dyDescent="0.45">
      <c r="B49" s="537" t="s">
        <v>604</v>
      </c>
      <c r="C49" s="537"/>
      <c r="D49" s="537"/>
      <c r="E49" s="537"/>
      <c r="F49" s="537"/>
      <c r="G49" s="537"/>
    </row>
    <row r="51" spans="2:7" x14ac:dyDescent="0.45">
      <c r="B51" s="8" t="s">
        <v>112</v>
      </c>
    </row>
    <row r="53" spans="2:7" x14ac:dyDescent="0.45">
      <c r="B53" s="169"/>
      <c r="C53" s="169"/>
      <c r="D53" s="169"/>
    </row>
    <row r="54" spans="2:7" s="51" customFormat="1" x14ac:dyDescent="0.45">
      <c r="B54" s="165" t="s">
        <v>605</v>
      </c>
      <c r="C54" s="165"/>
      <c r="D54" s="165" t="s">
        <v>606</v>
      </c>
    </row>
    <row r="55" spans="2:7" s="51" customFormat="1" x14ac:dyDescent="0.45"/>
    <row r="56" spans="2:7" s="51" customFormat="1" x14ac:dyDescent="0.45"/>
    <row r="57" spans="2:7" ht="19" thickBot="1" x14ac:dyDescent="0.5">
      <c r="B57" s="49"/>
      <c r="D57" s="514"/>
      <c r="E57" s="514"/>
      <c r="F57" s="195"/>
    </row>
    <row r="58" spans="2:7" x14ac:dyDescent="0.45">
      <c r="B58" s="8">
        <f>Input!D4</f>
        <v>0</v>
      </c>
      <c r="D58" s="50">
        <f>Input!D5</f>
        <v>0</v>
      </c>
    </row>
    <row r="59" spans="2:7" x14ac:dyDescent="0.45">
      <c r="D59" s="50"/>
    </row>
    <row r="60" spans="2:7" s="51" customFormat="1" x14ac:dyDescent="0.45">
      <c r="B60" s="165" t="s">
        <v>607</v>
      </c>
    </row>
    <row r="61" spans="2:7" s="51" customFormat="1" x14ac:dyDescent="0.45"/>
    <row r="62" spans="2:7" s="51" customFormat="1" x14ac:dyDescent="0.45"/>
    <row r="63" spans="2:7" ht="19" thickBot="1" x14ac:dyDescent="0.5">
      <c r="B63" s="49"/>
    </row>
    <row r="64" spans="2:7" x14ac:dyDescent="0.45">
      <c r="B64" s="8">
        <f>Input!D6</f>
        <v>0</v>
      </c>
    </row>
  </sheetData>
  <mergeCells count="9">
    <mergeCell ref="C1:D1"/>
    <mergeCell ref="B49:G49"/>
    <mergeCell ref="D57:E57"/>
    <mergeCell ref="B3:D3"/>
    <mergeCell ref="B4:D4"/>
    <mergeCell ref="C21:F21"/>
    <mergeCell ref="B46:G46"/>
    <mergeCell ref="B47:G47"/>
    <mergeCell ref="B48:G48"/>
  </mergeCells>
  <conditionalFormatting sqref="D58">
    <cfRule type="expression" dxfId="18" priority="13">
      <formula>$D$58=0</formula>
    </cfRule>
  </conditionalFormatting>
  <conditionalFormatting sqref="B58">
    <cfRule type="expression" dxfId="17" priority="11">
      <formula>$B$58=0</formula>
    </cfRule>
  </conditionalFormatting>
  <conditionalFormatting sqref="B64">
    <cfRule type="expression" dxfId="16" priority="10">
      <formula>$B$64=0</formula>
    </cfRule>
  </conditionalFormatting>
  <conditionalFormatting sqref="C6">
    <cfRule type="expression" dxfId="15" priority="9">
      <formula>$C$6=0</formula>
    </cfRule>
  </conditionalFormatting>
  <conditionalFormatting sqref="D6">
    <cfRule type="expression" dxfId="14" priority="8">
      <formula>$D$6=0</formula>
    </cfRule>
  </conditionalFormatting>
  <conditionalFormatting sqref="D8">
    <cfRule type="expression" dxfId="13" priority="7">
      <formula>$D$8=0</formula>
    </cfRule>
  </conditionalFormatting>
  <conditionalFormatting sqref="D14">
    <cfRule type="expression" dxfId="12" priority="6">
      <formula>$D$14=0</formula>
    </cfRule>
  </conditionalFormatting>
  <conditionalFormatting sqref="D15">
    <cfRule type="expression" dxfId="11" priority="5">
      <formula>$D$15=0</formula>
    </cfRule>
  </conditionalFormatting>
  <conditionalFormatting sqref="C5">
    <cfRule type="expression" dxfId="10" priority="4">
      <formula>$C$5=0</formula>
    </cfRule>
  </conditionalFormatting>
  <conditionalFormatting sqref="D5">
    <cfRule type="expression" dxfId="9" priority="3">
      <formula>$D$5=0</formula>
    </cfRule>
  </conditionalFormatting>
  <conditionalFormatting sqref="D9">
    <cfRule type="expression" dxfId="8" priority="2">
      <formula>$D$9=0</formula>
    </cfRule>
  </conditionalFormatting>
  <conditionalFormatting sqref="D10">
    <cfRule type="expression" dxfId="7" priority="1">
      <formula>$D$10=0</formula>
    </cfRule>
  </conditionalFormatting>
  <pageMargins left="0.7" right="0.7" top="0.75" bottom="0.75" header="0.3" footer="0.3"/>
  <pageSetup scale="62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4"/>
    <pageSetUpPr fitToPage="1"/>
  </sheetPr>
  <dimension ref="B1:G59"/>
  <sheetViews>
    <sheetView showGridLines="0" view="pageBreakPreview" zoomScale="70" zoomScaleNormal="100" zoomScaleSheetLayoutView="70" workbookViewId="0">
      <selection activeCell="F18" sqref="F18:F38"/>
    </sheetView>
  </sheetViews>
  <sheetFormatPr defaultColWidth="8.81640625" defaultRowHeight="18.5" x14ac:dyDescent="0.45"/>
  <cols>
    <col min="1" max="1" width="5.81640625" style="8" customWidth="1"/>
    <col min="2" max="2" width="31.81640625" style="8" customWidth="1"/>
    <col min="3" max="3" width="17.1796875" style="8" customWidth="1"/>
    <col min="4" max="4" width="21" style="8" customWidth="1"/>
    <col min="5" max="5" width="21.453125" style="8" hidden="1" customWidth="1"/>
    <col min="6" max="6" width="28.453125" style="8" customWidth="1"/>
    <col min="7" max="7" width="8.81640625" style="8"/>
    <col min="8" max="8" width="14.81640625" style="8" customWidth="1"/>
    <col min="9" max="10" width="0" style="8" hidden="1" customWidth="1"/>
    <col min="11" max="16384" width="8.81640625" style="8"/>
  </cols>
  <sheetData>
    <row r="1" spans="2:6" x14ac:dyDescent="0.45">
      <c r="B1" s="11" t="s">
        <v>598</v>
      </c>
      <c r="C1" s="544">
        <f>Input!D4</f>
        <v>0</v>
      </c>
      <c r="D1" s="545"/>
    </row>
    <row r="2" spans="2:6" ht="9" customHeight="1" thickBot="1" x14ac:dyDescent="0.5"/>
    <row r="3" spans="2:6" x14ac:dyDescent="0.45">
      <c r="B3" s="516" t="str">
        <f>"Brentville International - "&amp;Input!D7</f>
        <v>Brentville International - The Arborage</v>
      </c>
      <c r="C3" s="517"/>
      <c r="D3" s="518"/>
    </row>
    <row r="4" spans="2:6" x14ac:dyDescent="0.45">
      <c r="B4" s="519" t="str">
        <f>'Summary - All Clusters'!C5</f>
        <v>B-B2-L10</v>
      </c>
      <c r="C4" s="520"/>
      <c r="D4" s="521"/>
    </row>
    <row r="5" spans="2:6" x14ac:dyDescent="0.45">
      <c r="B5" s="28" t="str">
        <f>IF(Input!D7="Prominence II","","Lot Area (approx):")</f>
        <v>Lot Area (approx):</v>
      </c>
      <c r="C5" s="29">
        <f>'Summary - All Clusters'!C6</f>
        <v>168</v>
      </c>
      <c r="D5" s="200">
        <f>C5*10.76391</f>
        <v>1808.3368799999998</v>
      </c>
      <c r="F5" s="27"/>
    </row>
    <row r="6" spans="2:6" s="11" customFormat="1" x14ac:dyDescent="0.45">
      <c r="B6" s="32" t="str">
        <f>'Summary - All Clusters'!C60</f>
        <v>Net List Price:</v>
      </c>
      <c r="C6" s="40"/>
      <c r="D6" s="201">
        <f>Input!D12</f>
        <v>5641104</v>
      </c>
    </row>
    <row r="7" spans="2:6" x14ac:dyDescent="0.45">
      <c r="B7" s="131" t="str">
        <f>'Summary - All Clusters'!C61</f>
        <v>Add VAT:</v>
      </c>
      <c r="C7" s="38"/>
      <c r="D7" s="203">
        <f>D6*12%</f>
        <v>676932.48</v>
      </c>
    </row>
    <row r="8" spans="2:6" x14ac:dyDescent="0.45">
      <c r="B8" s="131" t="str">
        <f>'Summary - All Clusters'!C62</f>
        <v>Add Other Charges:</v>
      </c>
      <c r="C8" s="38"/>
      <c r="D8" s="203">
        <f>D6*4%</f>
        <v>225644.16</v>
      </c>
    </row>
    <row r="9" spans="2:6" hidden="1" x14ac:dyDescent="0.45">
      <c r="B9" s="28" t="str">
        <f>'Summary - All Clusters'!C63</f>
        <v/>
      </c>
      <c r="C9" s="38"/>
      <c r="D9" s="203">
        <f>'Summary - All Clusters'!E63</f>
        <v>0</v>
      </c>
    </row>
    <row r="10" spans="2:6" s="23" customFormat="1" hidden="1" x14ac:dyDescent="0.45">
      <c r="B10" s="180" t="str">
        <f>'Summary - All Clusters'!C64</f>
        <v/>
      </c>
      <c r="C10" s="163"/>
      <c r="D10" s="206">
        <f>'Summary - All Clusters'!E64</f>
        <v>0</v>
      </c>
    </row>
    <row r="11" spans="2:6" s="11" customFormat="1" ht="19" thickBot="1" x14ac:dyDescent="0.5">
      <c r="B11" s="33" t="str">
        <f>'Summary - All Clusters'!C66</f>
        <v>Total Contract Price:</v>
      </c>
      <c r="C11" s="41"/>
      <c r="D11" s="207">
        <f>ROUND(D6+D7+D8,-2)</f>
        <v>6543700</v>
      </c>
    </row>
    <row r="12" spans="2:6" s="11" customFormat="1" ht="19" hidden="1" thickBot="1" x14ac:dyDescent="0.5">
      <c r="B12" s="33" t="s">
        <v>610</v>
      </c>
      <c r="C12" s="41"/>
      <c r="D12" s="37">
        <f>(D11-D18-D19)*Input!D14*0</f>
        <v>0</v>
      </c>
      <c r="E12" s="52"/>
      <c r="F12" s="19"/>
    </row>
    <row r="13" spans="2:6" x14ac:dyDescent="0.45">
      <c r="B13" s="42" t="str">
        <f>'Summary - All Clusters'!B8</f>
        <v>Computation generated on:</v>
      </c>
      <c r="C13" s="10">
        <f ca="1">'Summary - All Clusters'!C8</f>
        <v>44061</v>
      </c>
    </row>
    <row r="14" spans="2:6" x14ac:dyDescent="0.45">
      <c r="B14" s="43" t="s">
        <v>599</v>
      </c>
    </row>
    <row r="15" spans="2:6" ht="19" thickBot="1" x14ac:dyDescent="0.5"/>
    <row r="16" spans="2:6" x14ac:dyDescent="0.45">
      <c r="C16" s="522" t="str">
        <f>IF(OR(Input!D7="The Arborage",Input!D7="Prominence II"),"PAYMENT TERM NOT AVAILABLE FOR THIS PROPERTY",'Summary - All Clusters'!B54)</f>
        <v>PAYMENT TERM NOT AVAILABLE FOR THIS PROPERTY</v>
      </c>
      <c r="D16" s="523"/>
      <c r="E16" s="523"/>
      <c r="F16" s="524"/>
    </row>
    <row r="17" spans="3:6" x14ac:dyDescent="0.45">
      <c r="C17" s="53" t="s">
        <v>600</v>
      </c>
      <c r="D17" s="44" t="s">
        <v>611</v>
      </c>
      <c r="E17" s="44" t="s">
        <v>612</v>
      </c>
      <c r="F17" s="46" t="s">
        <v>613</v>
      </c>
    </row>
    <row r="18" spans="3:6" x14ac:dyDescent="0.45">
      <c r="C18" s="54">
        <f ca="1">C13</f>
        <v>44061</v>
      </c>
      <c r="D18" s="45">
        <f>IF($C$16="PAYMENT TERM NOT AVAILABLE FOR THIS PROPERTY",0,50000)</f>
        <v>0</v>
      </c>
      <c r="E18" s="56"/>
      <c r="F18" s="47">
        <f>E18+D18</f>
        <v>0</v>
      </c>
    </row>
    <row r="19" spans="3:6" x14ac:dyDescent="0.45">
      <c r="C19" s="54">
        <f ca="1">EDATE(C18,1)</f>
        <v>44092</v>
      </c>
      <c r="D19" s="45">
        <f>IF($C$16="PAYMENT TERM NOT AVAILABLE FOR THIS PROPERTY",0,(D11*25%)-D18)</f>
        <v>0</v>
      </c>
      <c r="E19" s="56"/>
      <c r="F19" s="47">
        <f>E19+D19</f>
        <v>0</v>
      </c>
    </row>
    <row r="20" spans="3:6" x14ac:dyDescent="0.45">
      <c r="C20" s="54">
        <f t="shared" ref="C20:C38" ca="1" si="0">EDATE(C19,1)</f>
        <v>44122</v>
      </c>
      <c r="D20" s="57">
        <f>IF($C$16="PAYMENT TERM NOT AVAILABLE FOR THIS PROPERTY",0,(D11*0.25)/18)</f>
        <v>0</v>
      </c>
      <c r="E20" s="45">
        <f>IF($C$16="PAYMENT TERM NOT AVAILABLE FOR THIS PROPERTY",0,$D$12)</f>
        <v>0</v>
      </c>
      <c r="F20" s="47">
        <f t="shared" ref="F20:F38" si="1">E20+D20</f>
        <v>0</v>
      </c>
    </row>
    <row r="21" spans="3:6" x14ac:dyDescent="0.45">
      <c r="C21" s="54">
        <f t="shared" ca="1" si="0"/>
        <v>44153</v>
      </c>
      <c r="D21" s="57">
        <f>D20</f>
        <v>0</v>
      </c>
      <c r="E21" s="45">
        <f t="shared" ref="E21:E38" si="2">IF($C$16="PAYMENT TERM NOT AVAILABLE FOR THIS PROPERTY",0,$D$12)</f>
        <v>0</v>
      </c>
      <c r="F21" s="47">
        <f t="shared" si="1"/>
        <v>0</v>
      </c>
    </row>
    <row r="22" spans="3:6" x14ac:dyDescent="0.45">
      <c r="C22" s="54">
        <f t="shared" ca="1" si="0"/>
        <v>44183</v>
      </c>
      <c r="D22" s="57">
        <f t="shared" ref="D22:D37" si="3">D21</f>
        <v>0</v>
      </c>
      <c r="E22" s="45">
        <f t="shared" si="2"/>
        <v>0</v>
      </c>
      <c r="F22" s="47">
        <f t="shared" si="1"/>
        <v>0</v>
      </c>
    </row>
    <row r="23" spans="3:6" x14ac:dyDescent="0.45">
      <c r="C23" s="54">
        <f t="shared" ca="1" si="0"/>
        <v>44214</v>
      </c>
      <c r="D23" s="57">
        <f t="shared" si="3"/>
        <v>0</v>
      </c>
      <c r="E23" s="45">
        <f t="shared" si="2"/>
        <v>0</v>
      </c>
      <c r="F23" s="47">
        <f t="shared" si="1"/>
        <v>0</v>
      </c>
    </row>
    <row r="24" spans="3:6" x14ac:dyDescent="0.45">
      <c r="C24" s="54">
        <f t="shared" ca="1" si="0"/>
        <v>44245</v>
      </c>
      <c r="D24" s="57">
        <f t="shared" si="3"/>
        <v>0</v>
      </c>
      <c r="E24" s="45">
        <f t="shared" si="2"/>
        <v>0</v>
      </c>
      <c r="F24" s="47">
        <f t="shared" si="1"/>
        <v>0</v>
      </c>
    </row>
    <row r="25" spans="3:6" x14ac:dyDescent="0.45">
      <c r="C25" s="54">
        <f t="shared" ca="1" si="0"/>
        <v>44273</v>
      </c>
      <c r="D25" s="57">
        <f t="shared" si="3"/>
        <v>0</v>
      </c>
      <c r="E25" s="45">
        <f t="shared" si="2"/>
        <v>0</v>
      </c>
      <c r="F25" s="47">
        <f t="shared" si="1"/>
        <v>0</v>
      </c>
    </row>
    <row r="26" spans="3:6" x14ac:dyDescent="0.45">
      <c r="C26" s="54">
        <f t="shared" ca="1" si="0"/>
        <v>44304</v>
      </c>
      <c r="D26" s="57">
        <f t="shared" si="3"/>
        <v>0</v>
      </c>
      <c r="E26" s="45">
        <f t="shared" si="2"/>
        <v>0</v>
      </c>
      <c r="F26" s="47">
        <f t="shared" si="1"/>
        <v>0</v>
      </c>
    </row>
    <row r="27" spans="3:6" x14ac:dyDescent="0.45">
      <c r="C27" s="54">
        <f t="shared" ca="1" si="0"/>
        <v>44334</v>
      </c>
      <c r="D27" s="57">
        <f t="shared" si="3"/>
        <v>0</v>
      </c>
      <c r="E27" s="45">
        <f t="shared" si="2"/>
        <v>0</v>
      </c>
      <c r="F27" s="47">
        <f t="shared" si="1"/>
        <v>0</v>
      </c>
    </row>
    <row r="28" spans="3:6" x14ac:dyDescent="0.45">
      <c r="C28" s="54">
        <f t="shared" ca="1" si="0"/>
        <v>44365</v>
      </c>
      <c r="D28" s="57">
        <f t="shared" si="3"/>
        <v>0</v>
      </c>
      <c r="E28" s="45">
        <f t="shared" si="2"/>
        <v>0</v>
      </c>
      <c r="F28" s="47">
        <f t="shared" si="1"/>
        <v>0</v>
      </c>
    </row>
    <row r="29" spans="3:6" x14ac:dyDescent="0.45">
      <c r="C29" s="54">
        <f t="shared" ca="1" si="0"/>
        <v>44395</v>
      </c>
      <c r="D29" s="57">
        <f t="shared" si="3"/>
        <v>0</v>
      </c>
      <c r="E29" s="45">
        <f t="shared" si="2"/>
        <v>0</v>
      </c>
      <c r="F29" s="47">
        <f t="shared" si="1"/>
        <v>0</v>
      </c>
    </row>
    <row r="30" spans="3:6" x14ac:dyDescent="0.45">
      <c r="C30" s="54">
        <f t="shared" ca="1" si="0"/>
        <v>44426</v>
      </c>
      <c r="D30" s="57">
        <f t="shared" si="3"/>
        <v>0</v>
      </c>
      <c r="E30" s="45">
        <f t="shared" si="2"/>
        <v>0</v>
      </c>
      <c r="F30" s="47">
        <f t="shared" si="1"/>
        <v>0</v>
      </c>
    </row>
    <row r="31" spans="3:6" x14ac:dyDescent="0.45">
      <c r="C31" s="54">
        <f t="shared" ca="1" si="0"/>
        <v>44457</v>
      </c>
      <c r="D31" s="57">
        <f t="shared" si="3"/>
        <v>0</v>
      </c>
      <c r="E31" s="45">
        <f t="shared" si="2"/>
        <v>0</v>
      </c>
      <c r="F31" s="47">
        <f t="shared" si="1"/>
        <v>0</v>
      </c>
    </row>
    <row r="32" spans="3:6" x14ac:dyDescent="0.45">
      <c r="C32" s="54">
        <f t="shared" ca="1" si="0"/>
        <v>44487</v>
      </c>
      <c r="D32" s="57">
        <f t="shared" si="3"/>
        <v>0</v>
      </c>
      <c r="E32" s="45">
        <f t="shared" si="2"/>
        <v>0</v>
      </c>
      <c r="F32" s="47">
        <f t="shared" si="1"/>
        <v>0</v>
      </c>
    </row>
    <row r="33" spans="2:7" x14ac:dyDescent="0.45">
      <c r="C33" s="54">
        <f t="shared" ca="1" si="0"/>
        <v>44518</v>
      </c>
      <c r="D33" s="57">
        <f t="shared" si="3"/>
        <v>0</v>
      </c>
      <c r="E33" s="45">
        <f t="shared" si="2"/>
        <v>0</v>
      </c>
      <c r="F33" s="47">
        <f t="shared" si="1"/>
        <v>0</v>
      </c>
    </row>
    <row r="34" spans="2:7" x14ac:dyDescent="0.45">
      <c r="C34" s="54">
        <f t="shared" ca="1" si="0"/>
        <v>44548</v>
      </c>
      <c r="D34" s="57">
        <f t="shared" si="3"/>
        <v>0</v>
      </c>
      <c r="E34" s="45">
        <f t="shared" si="2"/>
        <v>0</v>
      </c>
      <c r="F34" s="47">
        <f t="shared" si="1"/>
        <v>0</v>
      </c>
    </row>
    <row r="35" spans="2:7" x14ac:dyDescent="0.45">
      <c r="C35" s="54">
        <f t="shared" ca="1" si="0"/>
        <v>44579</v>
      </c>
      <c r="D35" s="57">
        <f t="shared" si="3"/>
        <v>0</v>
      </c>
      <c r="E35" s="45">
        <f t="shared" si="2"/>
        <v>0</v>
      </c>
      <c r="F35" s="47">
        <f t="shared" si="1"/>
        <v>0</v>
      </c>
    </row>
    <row r="36" spans="2:7" x14ac:dyDescent="0.45">
      <c r="C36" s="54">
        <f t="shared" ca="1" si="0"/>
        <v>44610</v>
      </c>
      <c r="D36" s="57">
        <f t="shared" si="3"/>
        <v>0</v>
      </c>
      <c r="E36" s="45">
        <f t="shared" si="2"/>
        <v>0</v>
      </c>
      <c r="F36" s="47">
        <f t="shared" si="1"/>
        <v>0</v>
      </c>
    </row>
    <row r="37" spans="2:7" x14ac:dyDescent="0.45">
      <c r="C37" s="54">
        <f t="shared" ca="1" si="0"/>
        <v>44638</v>
      </c>
      <c r="D37" s="57">
        <f t="shared" si="3"/>
        <v>0</v>
      </c>
      <c r="E37" s="45">
        <f t="shared" si="2"/>
        <v>0</v>
      </c>
      <c r="F37" s="47">
        <f t="shared" si="1"/>
        <v>0</v>
      </c>
    </row>
    <row r="38" spans="2:7" ht="19" thickBot="1" x14ac:dyDescent="0.5">
      <c r="C38" s="55">
        <f t="shared" ca="1" si="0"/>
        <v>44669</v>
      </c>
      <c r="D38" s="58">
        <f>IF($C$16="PAYMENT TERM NOT AVAILABLE FOR THIS PROPERTY",0,0.5*D11)</f>
        <v>0</v>
      </c>
      <c r="E38" s="59">
        <f t="shared" si="2"/>
        <v>0</v>
      </c>
      <c r="F38" s="48">
        <f t="shared" si="1"/>
        <v>0</v>
      </c>
    </row>
    <row r="39" spans="2:7" x14ac:dyDescent="0.45">
      <c r="C39" s="7" t="s">
        <v>614</v>
      </c>
    </row>
    <row r="40" spans="2:7" x14ac:dyDescent="0.45">
      <c r="C40" s="7"/>
    </row>
    <row r="41" spans="2:7" ht="37.5" customHeight="1" x14ac:dyDescent="0.45">
      <c r="B41" s="537" t="s">
        <v>608</v>
      </c>
      <c r="C41" s="537"/>
      <c r="D41" s="537"/>
      <c r="E41" s="537"/>
      <c r="F41" s="537"/>
      <c r="G41" s="537"/>
    </row>
    <row r="42" spans="2:7" ht="37.5" customHeight="1" x14ac:dyDescent="0.45">
      <c r="B42" s="537" t="s">
        <v>602</v>
      </c>
      <c r="C42" s="537"/>
      <c r="D42" s="537"/>
      <c r="E42" s="537"/>
      <c r="F42" s="537"/>
      <c r="G42" s="537"/>
    </row>
    <row r="43" spans="2:7" ht="37.5" customHeight="1" x14ac:dyDescent="0.45">
      <c r="B43" s="537" t="s">
        <v>603</v>
      </c>
      <c r="C43" s="537"/>
      <c r="D43" s="537"/>
      <c r="E43" s="537"/>
      <c r="F43" s="537"/>
      <c r="G43" s="537"/>
    </row>
    <row r="44" spans="2:7" ht="18.75" customHeight="1" x14ac:dyDescent="0.45">
      <c r="B44" s="537" t="s">
        <v>604</v>
      </c>
      <c r="C44" s="537"/>
      <c r="D44" s="537"/>
      <c r="E44" s="537"/>
      <c r="F44" s="537"/>
      <c r="G44" s="537"/>
    </row>
    <row r="46" spans="2:7" x14ac:dyDescent="0.45">
      <c r="B46" s="8" t="s">
        <v>112</v>
      </c>
    </row>
    <row r="49" spans="2:6" s="51" customFormat="1" x14ac:dyDescent="0.45">
      <c r="B49" s="165" t="s">
        <v>605</v>
      </c>
      <c r="C49" s="165"/>
      <c r="D49" s="165" t="s">
        <v>606</v>
      </c>
      <c r="E49" s="165"/>
    </row>
    <row r="50" spans="2:6" s="51" customFormat="1" x14ac:dyDescent="0.45"/>
    <row r="51" spans="2:6" s="51" customFormat="1" x14ac:dyDescent="0.45"/>
    <row r="52" spans="2:6" ht="19" thickBot="1" x14ac:dyDescent="0.5">
      <c r="B52" s="49"/>
      <c r="D52" s="514"/>
      <c r="E52" s="514"/>
      <c r="F52" s="49"/>
    </row>
    <row r="53" spans="2:6" x14ac:dyDescent="0.45">
      <c r="B53" s="8">
        <f>Input!D4</f>
        <v>0</v>
      </c>
      <c r="D53" s="50">
        <f>Input!D5</f>
        <v>0</v>
      </c>
    </row>
    <row r="54" spans="2:6" x14ac:dyDescent="0.45">
      <c r="D54" s="50"/>
    </row>
    <row r="55" spans="2:6" s="51" customFormat="1" x14ac:dyDescent="0.45">
      <c r="B55" s="165" t="s">
        <v>607</v>
      </c>
    </row>
    <row r="56" spans="2:6" s="51" customFormat="1" x14ac:dyDescent="0.45"/>
    <row r="57" spans="2:6" s="51" customFormat="1" x14ac:dyDescent="0.45"/>
    <row r="58" spans="2:6" ht="19" thickBot="1" x14ac:dyDescent="0.5">
      <c r="B58" s="49"/>
    </row>
    <row r="59" spans="2:6" x14ac:dyDescent="0.45">
      <c r="B59" s="8">
        <f>Input!D6</f>
        <v>0</v>
      </c>
    </row>
  </sheetData>
  <mergeCells count="9">
    <mergeCell ref="C1:D1"/>
    <mergeCell ref="B44:G44"/>
    <mergeCell ref="D52:E52"/>
    <mergeCell ref="B3:D3"/>
    <mergeCell ref="B4:D4"/>
    <mergeCell ref="C16:F16"/>
    <mergeCell ref="B41:G41"/>
    <mergeCell ref="B42:G42"/>
    <mergeCell ref="B43:G43"/>
  </mergeCells>
  <conditionalFormatting sqref="D53">
    <cfRule type="expression" dxfId="6" priority="13">
      <formula>$D$53=0</formula>
    </cfRule>
  </conditionalFormatting>
  <conditionalFormatting sqref="B53">
    <cfRule type="expression" dxfId="5" priority="11">
      <formula>$B$53=0</formula>
    </cfRule>
  </conditionalFormatting>
  <conditionalFormatting sqref="B59">
    <cfRule type="expression" dxfId="4" priority="10">
      <formula>$B$59=0</formula>
    </cfRule>
  </conditionalFormatting>
  <conditionalFormatting sqref="D9">
    <cfRule type="expression" dxfId="3" priority="6">
      <formula>$D$9=0</formula>
    </cfRule>
  </conditionalFormatting>
  <conditionalFormatting sqref="D10">
    <cfRule type="expression" dxfId="2" priority="5">
      <formula>$D$10=0</formula>
    </cfRule>
  </conditionalFormatting>
  <conditionalFormatting sqref="C5">
    <cfRule type="expression" dxfId="1" priority="4">
      <formula>$C$5=0</formula>
    </cfRule>
  </conditionalFormatting>
  <conditionalFormatting sqref="D5">
    <cfRule type="expression" dxfId="0" priority="3">
      <formula>$D$5=0</formula>
    </cfRule>
  </conditionalFormatting>
  <pageMargins left="0.7" right="0.7" top="0.75" bottom="0.75" header="0.3" footer="0.3"/>
  <pageSetup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1" tint="0.249977111117893"/>
  </sheetPr>
  <dimension ref="A1:DB8"/>
  <sheetViews>
    <sheetView workbookViewId="0">
      <selection activeCell="D35" sqref="D35"/>
    </sheetView>
  </sheetViews>
  <sheetFormatPr defaultColWidth="8.81640625" defaultRowHeight="14.5" x14ac:dyDescent="0.35"/>
  <cols>
    <col min="2" max="4" width="8.81640625" customWidth="1"/>
    <col min="5" max="5" width="16.453125" customWidth="1"/>
    <col min="6" max="6" width="8.81640625" customWidth="1"/>
    <col min="9" max="18" width="8.81640625" hidden="1" customWidth="1"/>
    <col min="19" max="19" width="14.1796875" customWidth="1"/>
    <col min="20" max="21" width="8.81640625" hidden="1" customWidth="1"/>
    <col min="22" max="22" width="23.453125" bestFit="1" customWidth="1"/>
    <col min="23" max="23" width="16.7265625" hidden="1" customWidth="1"/>
    <col min="24" max="24" width="17.453125" hidden="1" customWidth="1"/>
    <col min="25" max="25" width="21.7265625" hidden="1" customWidth="1"/>
    <col min="26" max="26" width="22.453125" hidden="1" customWidth="1"/>
    <col min="27" max="27" width="21.81640625" hidden="1" customWidth="1"/>
    <col min="28" max="28" width="22.453125" hidden="1" customWidth="1"/>
    <col min="29" max="29" width="10.81640625" hidden="1" customWidth="1"/>
    <col min="30" max="30" width="21.81640625" hidden="1" customWidth="1"/>
    <col min="31" max="31" width="17" bestFit="1" customWidth="1"/>
    <col min="32" max="47" width="8.81640625" hidden="1" customWidth="1"/>
    <col min="48" max="48" width="8.81640625" customWidth="1"/>
    <col min="49" max="49" width="8.81640625" hidden="1" customWidth="1"/>
    <col min="101" max="101" width="10.453125" bestFit="1" customWidth="1"/>
  </cols>
  <sheetData>
    <row r="1" spans="1:106" x14ac:dyDescent="0.35">
      <c r="B1" t="s">
        <v>4</v>
      </c>
      <c r="C1" t="s">
        <v>5</v>
      </c>
      <c r="D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18</v>
      </c>
      <c r="Q1" s="1" t="s">
        <v>19</v>
      </c>
      <c r="R1" s="1" t="s">
        <v>20</v>
      </c>
      <c r="S1" s="2" t="s">
        <v>21</v>
      </c>
      <c r="T1" s="2"/>
      <c r="U1" s="2"/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1" t="s">
        <v>30</v>
      </c>
      <c r="AE1" s="3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3" t="s">
        <v>48</v>
      </c>
      <c r="AW1" s="1" t="s">
        <v>49</v>
      </c>
      <c r="AX1" s="1" t="s">
        <v>21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</row>
    <row r="2" spans="1:106" x14ac:dyDescent="0.35">
      <c r="A2" t="str">
        <f t="shared" ref="A2:A7" si="0">DB2</f>
        <v>B2-L13</v>
      </c>
      <c r="B2" t="s">
        <v>100</v>
      </c>
      <c r="C2" t="s">
        <v>101</v>
      </c>
      <c r="D2" t="s">
        <v>215</v>
      </c>
      <c r="E2" t="s">
        <v>216</v>
      </c>
      <c r="F2" t="s">
        <v>217</v>
      </c>
      <c r="G2" t="s">
        <v>217</v>
      </c>
      <c r="H2" t="s">
        <v>218</v>
      </c>
      <c r="I2">
        <v>175</v>
      </c>
      <c r="J2" t="s">
        <v>219</v>
      </c>
      <c r="K2" t="s">
        <v>107</v>
      </c>
      <c r="L2" t="s">
        <v>108</v>
      </c>
      <c r="M2">
        <v>11</v>
      </c>
      <c r="N2" t="s">
        <v>109</v>
      </c>
      <c r="O2">
        <v>2</v>
      </c>
      <c r="P2" t="s">
        <v>110</v>
      </c>
      <c r="R2" t="s">
        <v>220</v>
      </c>
      <c r="S2" s="2">
        <v>1309</v>
      </c>
      <c r="T2" s="2">
        <v>0</v>
      </c>
      <c r="U2" s="2"/>
      <c r="V2" t="s">
        <v>113</v>
      </c>
      <c r="W2" t="s">
        <v>114</v>
      </c>
      <c r="X2" t="s">
        <v>115</v>
      </c>
      <c r="AE2" s="4">
        <f>VLOOKUP(A2,'[1]3- Unit Pricing'!$DW$14:$DY$56,3,FALSE)</f>
        <v>46063710</v>
      </c>
      <c r="AF2" t="s">
        <v>116</v>
      </c>
      <c r="AM2" t="s">
        <v>117</v>
      </c>
      <c r="AN2" t="s">
        <v>109</v>
      </c>
      <c r="AO2" t="s">
        <v>118</v>
      </c>
      <c r="AP2" t="s">
        <v>119</v>
      </c>
      <c r="AQ2">
        <v>4</v>
      </c>
      <c r="AR2" t="s">
        <v>120</v>
      </c>
      <c r="AS2" t="s">
        <v>180</v>
      </c>
      <c r="AV2" s="4"/>
      <c r="AX2" t="s">
        <v>122</v>
      </c>
      <c r="AY2" t="s">
        <v>221</v>
      </c>
      <c r="BJ2" t="s">
        <v>124</v>
      </c>
      <c r="BK2" t="s">
        <v>125</v>
      </c>
      <c r="BT2" t="s">
        <v>190</v>
      </c>
      <c r="BU2" t="s">
        <v>190</v>
      </c>
      <c r="BV2" t="s">
        <v>222</v>
      </c>
      <c r="BW2" t="s">
        <v>223</v>
      </c>
      <c r="BX2" t="s">
        <v>224</v>
      </c>
      <c r="BY2" t="s">
        <v>225</v>
      </c>
      <c r="CD2" t="s">
        <v>131</v>
      </c>
      <c r="CE2" t="s">
        <v>132</v>
      </c>
      <c r="CF2" t="s">
        <v>133</v>
      </c>
      <c r="CJ2" t="s">
        <v>134</v>
      </c>
      <c r="CK2" t="s">
        <v>226</v>
      </c>
      <c r="CL2" t="s">
        <v>136</v>
      </c>
      <c r="CM2" t="s">
        <v>137</v>
      </c>
      <c r="CN2" t="s">
        <v>227</v>
      </c>
      <c r="CO2" t="s">
        <v>139</v>
      </c>
      <c r="CR2" t="s">
        <v>140</v>
      </c>
      <c r="CW2" s="6">
        <f>CX2/S2</f>
        <v>39412.800000000003</v>
      </c>
      <c r="CX2">
        <f>(AE2+AV2)*1.12</f>
        <v>51591355.200000003</v>
      </c>
      <c r="CZ2" s="4"/>
      <c r="DA2" s="4"/>
      <c r="DB2" t="str">
        <f t="shared" ref="DB2:DB7" si="1">G2&amp;"-"&amp;H2</f>
        <v>B2-L13</v>
      </c>
    </row>
    <row r="3" spans="1:106" x14ac:dyDescent="0.35">
      <c r="A3" t="str">
        <f t="shared" si="0"/>
        <v>B4-L1</v>
      </c>
      <c r="B3" t="s">
        <v>100</v>
      </c>
      <c r="C3" t="s">
        <v>101</v>
      </c>
      <c r="D3" t="s">
        <v>215</v>
      </c>
      <c r="E3" t="s">
        <v>216</v>
      </c>
      <c r="F3" t="s">
        <v>196</v>
      </c>
      <c r="G3" t="s">
        <v>196</v>
      </c>
      <c r="H3" t="s">
        <v>160</v>
      </c>
      <c r="I3">
        <v>187</v>
      </c>
      <c r="J3" t="s">
        <v>230</v>
      </c>
      <c r="K3" t="s">
        <v>107</v>
      </c>
      <c r="L3" t="s">
        <v>108</v>
      </c>
      <c r="M3">
        <v>11</v>
      </c>
      <c r="N3" t="s">
        <v>109</v>
      </c>
      <c r="O3">
        <v>2</v>
      </c>
      <c r="P3" t="s">
        <v>110</v>
      </c>
      <c r="R3" t="s">
        <v>231</v>
      </c>
      <c r="S3" s="2">
        <v>973</v>
      </c>
      <c r="T3" s="2">
        <v>0</v>
      </c>
      <c r="U3" s="2"/>
      <c r="V3" t="s">
        <v>113</v>
      </c>
      <c r="W3" t="s">
        <v>114</v>
      </c>
      <c r="X3" t="s">
        <v>115</v>
      </c>
      <c r="AE3" s="4">
        <f>VLOOKUP(A3,'[1]3- Unit Pricing'!$DW$14:$DY$56,3,FALSE)</f>
        <v>31262490</v>
      </c>
      <c r="AF3" t="s">
        <v>116</v>
      </c>
      <c r="AM3" t="s">
        <v>117</v>
      </c>
      <c r="AN3" t="s">
        <v>109</v>
      </c>
      <c r="AO3" t="s">
        <v>118</v>
      </c>
      <c r="AP3" t="s">
        <v>119</v>
      </c>
      <c r="AQ3">
        <v>4</v>
      </c>
      <c r="AR3" t="s">
        <v>120</v>
      </c>
      <c r="AS3" t="s">
        <v>180</v>
      </c>
      <c r="AV3" s="4"/>
      <c r="AX3" t="s">
        <v>122</v>
      </c>
      <c r="AY3" t="s">
        <v>232</v>
      </c>
      <c r="BJ3" t="s">
        <v>124</v>
      </c>
      <c r="BK3" t="s">
        <v>125</v>
      </c>
      <c r="BT3" t="s">
        <v>126</v>
      </c>
      <c r="BU3" t="s">
        <v>126</v>
      </c>
      <c r="BV3" t="s">
        <v>233</v>
      </c>
      <c r="BW3" t="s">
        <v>128</v>
      </c>
      <c r="BX3" t="s">
        <v>145</v>
      </c>
      <c r="BY3" t="s">
        <v>146</v>
      </c>
      <c r="CD3" t="s">
        <v>131</v>
      </c>
      <c r="CE3" t="s">
        <v>132</v>
      </c>
      <c r="CF3" t="s">
        <v>133</v>
      </c>
      <c r="CJ3" t="s">
        <v>156</v>
      </c>
      <c r="CK3" t="s">
        <v>234</v>
      </c>
      <c r="CL3" t="s">
        <v>136</v>
      </c>
      <c r="CM3" t="s">
        <v>137</v>
      </c>
      <c r="CN3" t="s">
        <v>235</v>
      </c>
      <c r="CO3" t="s">
        <v>139</v>
      </c>
      <c r="CR3" t="s">
        <v>140</v>
      </c>
      <c r="CW3" s="6">
        <f>CX3/S3</f>
        <v>35985.600000000006</v>
      </c>
      <c r="CX3">
        <f>(AE3+AV3)*1.12</f>
        <v>35013988.800000004</v>
      </c>
      <c r="DB3" t="str">
        <f t="shared" si="1"/>
        <v>B4-L1</v>
      </c>
    </row>
    <row r="4" spans="1:106" x14ac:dyDescent="0.35">
      <c r="A4" t="str">
        <f t="shared" si="0"/>
        <v>B5-L13</v>
      </c>
      <c r="B4" t="s">
        <v>100</v>
      </c>
      <c r="C4" t="s">
        <v>101</v>
      </c>
      <c r="D4" t="s">
        <v>215</v>
      </c>
      <c r="E4" t="s">
        <v>216</v>
      </c>
      <c r="F4" t="s">
        <v>236</v>
      </c>
      <c r="G4" t="s">
        <v>236</v>
      </c>
      <c r="H4" t="s">
        <v>218</v>
      </c>
      <c r="I4">
        <v>203</v>
      </c>
      <c r="J4" t="s">
        <v>237</v>
      </c>
      <c r="K4" t="s">
        <v>107</v>
      </c>
      <c r="L4" t="s">
        <v>108</v>
      </c>
      <c r="M4">
        <v>11</v>
      </c>
      <c r="N4" t="s">
        <v>109</v>
      </c>
      <c r="O4">
        <v>2</v>
      </c>
      <c r="P4" t="s">
        <v>110</v>
      </c>
      <c r="R4" t="s">
        <v>238</v>
      </c>
      <c r="S4" s="2">
        <v>1060</v>
      </c>
      <c r="T4" s="2">
        <v>0</v>
      </c>
      <c r="U4" s="2"/>
      <c r="V4" t="s">
        <v>113</v>
      </c>
      <c r="W4" t="s">
        <v>114</v>
      </c>
      <c r="X4" t="s">
        <v>115</v>
      </c>
      <c r="AE4" s="4">
        <f>VLOOKUP(A4,'[1]3- Unit Pricing'!$DW$14:$DY$56,3,FALSE)</f>
        <v>38923200</v>
      </c>
      <c r="AF4" t="s">
        <v>116</v>
      </c>
      <c r="AM4" t="s">
        <v>117</v>
      </c>
      <c r="AN4" t="s">
        <v>109</v>
      </c>
      <c r="AO4" t="s">
        <v>118</v>
      </c>
      <c r="AP4" t="s">
        <v>119</v>
      </c>
      <c r="AQ4">
        <v>4</v>
      </c>
      <c r="AR4" t="s">
        <v>120</v>
      </c>
      <c r="AS4" t="s">
        <v>180</v>
      </c>
      <c r="AV4" s="4"/>
      <c r="AX4" t="s">
        <v>122</v>
      </c>
      <c r="AY4" t="s">
        <v>123</v>
      </c>
      <c r="BJ4" t="s">
        <v>124</v>
      </c>
      <c r="BK4" t="s">
        <v>125</v>
      </c>
      <c r="BT4" t="s">
        <v>126</v>
      </c>
      <c r="BU4" t="s">
        <v>126</v>
      </c>
      <c r="BV4" t="s">
        <v>239</v>
      </c>
      <c r="BW4" t="s">
        <v>128</v>
      </c>
      <c r="BX4" t="s">
        <v>145</v>
      </c>
      <c r="BY4" t="s">
        <v>146</v>
      </c>
      <c r="CD4" t="s">
        <v>131</v>
      </c>
      <c r="CE4" t="s">
        <v>132</v>
      </c>
      <c r="CF4" t="s">
        <v>133</v>
      </c>
      <c r="CJ4" t="s">
        <v>134</v>
      </c>
      <c r="CK4" t="s">
        <v>226</v>
      </c>
      <c r="CL4" t="s">
        <v>136</v>
      </c>
      <c r="CM4" t="s">
        <v>137</v>
      </c>
      <c r="CN4" t="s">
        <v>240</v>
      </c>
      <c r="CO4" t="s">
        <v>139</v>
      </c>
      <c r="CR4" t="s">
        <v>140</v>
      </c>
      <c r="CW4" s="6">
        <f>CX4/S4</f>
        <v>41126.400000000009</v>
      </c>
      <c r="CX4">
        <f>(AE4+AV4)*1.12</f>
        <v>43593984.000000007</v>
      </c>
      <c r="DB4" t="str">
        <f t="shared" si="1"/>
        <v>B5-L13</v>
      </c>
    </row>
    <row r="5" spans="1:106" x14ac:dyDescent="0.35">
      <c r="A5" t="str">
        <f t="shared" si="0"/>
        <v>B5-L14</v>
      </c>
      <c r="B5" t="s">
        <v>100</v>
      </c>
      <c r="C5" t="s">
        <v>101</v>
      </c>
      <c r="D5" t="s">
        <v>215</v>
      </c>
      <c r="E5" t="s">
        <v>216</v>
      </c>
      <c r="F5" t="s">
        <v>236</v>
      </c>
      <c r="G5" t="s">
        <v>236</v>
      </c>
      <c r="H5" t="s">
        <v>241</v>
      </c>
      <c r="I5">
        <v>204</v>
      </c>
      <c r="J5" t="s">
        <v>242</v>
      </c>
      <c r="K5" t="s">
        <v>107</v>
      </c>
      <c r="L5" t="s">
        <v>108</v>
      </c>
      <c r="M5">
        <v>11</v>
      </c>
      <c r="N5" t="s">
        <v>109</v>
      </c>
      <c r="O5">
        <v>2</v>
      </c>
      <c r="P5" t="s">
        <v>110</v>
      </c>
      <c r="R5" t="s">
        <v>243</v>
      </c>
      <c r="S5" s="2">
        <v>959</v>
      </c>
      <c r="T5" s="2">
        <v>0</v>
      </c>
      <c r="U5" s="2"/>
      <c r="V5" t="s">
        <v>113</v>
      </c>
      <c r="W5" t="s">
        <v>114</v>
      </c>
      <c r="X5" t="s">
        <v>115</v>
      </c>
      <c r="AE5" s="4">
        <f>VLOOKUP(A5,'[1]3- Unit Pricing'!$DW$14:$DY$56,3,FALSE)</f>
        <v>35214480</v>
      </c>
      <c r="AF5" t="s">
        <v>116</v>
      </c>
      <c r="AM5" t="s">
        <v>117</v>
      </c>
      <c r="AN5" t="s">
        <v>109</v>
      </c>
      <c r="AO5" t="s">
        <v>118</v>
      </c>
      <c r="AP5" t="s">
        <v>119</v>
      </c>
      <c r="AQ5">
        <v>4</v>
      </c>
      <c r="AR5" t="s">
        <v>120</v>
      </c>
      <c r="AS5" t="s">
        <v>180</v>
      </c>
      <c r="AV5" s="4"/>
      <c r="AX5" t="s">
        <v>122</v>
      </c>
      <c r="AY5" t="s">
        <v>123</v>
      </c>
      <c r="BJ5" t="s">
        <v>124</v>
      </c>
      <c r="BK5" t="s">
        <v>125</v>
      </c>
      <c r="BT5" t="s">
        <v>126</v>
      </c>
      <c r="BU5" t="s">
        <v>126</v>
      </c>
      <c r="BV5" t="s">
        <v>244</v>
      </c>
      <c r="BW5" t="s">
        <v>128</v>
      </c>
      <c r="BX5" t="s">
        <v>145</v>
      </c>
      <c r="BY5" t="s">
        <v>146</v>
      </c>
      <c r="CD5" t="s">
        <v>131</v>
      </c>
      <c r="CE5" t="s">
        <v>132</v>
      </c>
      <c r="CF5" t="s">
        <v>133</v>
      </c>
      <c r="CJ5" t="s">
        <v>134</v>
      </c>
      <c r="CK5" t="s">
        <v>226</v>
      </c>
      <c r="CL5" t="s">
        <v>136</v>
      </c>
      <c r="CM5" t="s">
        <v>137</v>
      </c>
      <c r="CN5" t="s">
        <v>245</v>
      </c>
      <c r="CO5" t="s">
        <v>139</v>
      </c>
      <c r="CR5" t="s">
        <v>140</v>
      </c>
      <c r="CW5" s="6">
        <f>CX5/S5</f>
        <v>41126.400000000001</v>
      </c>
      <c r="CX5">
        <f>(AE5+AV5)*1.12</f>
        <v>39440217.600000001</v>
      </c>
      <c r="DB5" t="str">
        <f t="shared" si="1"/>
        <v>B5-L14</v>
      </c>
    </row>
    <row r="6" spans="1:106" x14ac:dyDescent="0.35">
      <c r="A6" s="173" t="str">
        <f t="shared" si="0"/>
        <v>B2A-L1</v>
      </c>
      <c r="B6" s="173" t="s">
        <v>100</v>
      </c>
      <c r="C6" s="173" t="s">
        <v>101</v>
      </c>
      <c r="D6" s="173" t="s">
        <v>215</v>
      </c>
      <c r="E6" s="173" t="s">
        <v>216</v>
      </c>
      <c r="F6" s="173" t="str">
        <f>G6</f>
        <v>B2A</v>
      </c>
      <c r="G6" s="173" t="s">
        <v>676</v>
      </c>
      <c r="H6" s="173" t="s">
        <v>160</v>
      </c>
      <c r="S6" s="174">
        <v>984</v>
      </c>
      <c r="T6" s="173"/>
      <c r="U6" s="173"/>
      <c r="V6" s="173" t="s">
        <v>113</v>
      </c>
      <c r="W6" s="173" t="s">
        <v>114</v>
      </c>
      <c r="X6" s="173"/>
      <c r="Y6" s="173"/>
      <c r="Z6" s="173"/>
      <c r="AA6" s="173"/>
      <c r="AB6" s="173"/>
      <c r="AC6" s="173"/>
      <c r="AD6" s="173"/>
      <c r="AE6" s="4">
        <f>VLOOKUP(A6,'[1]3- Unit Pricing'!$DW$14:$DY$56,3,FALSE)</f>
        <v>30110400</v>
      </c>
      <c r="AX6" t="s">
        <v>122</v>
      </c>
      <c r="DB6" t="str">
        <f t="shared" si="1"/>
        <v>B2A-L1</v>
      </c>
    </row>
    <row r="7" spans="1:106" x14ac:dyDescent="0.35">
      <c r="A7" s="173" t="str">
        <f t="shared" si="0"/>
        <v>B5-L2</v>
      </c>
      <c r="B7" s="173" t="s">
        <v>100</v>
      </c>
      <c r="C7" s="173" t="s">
        <v>101</v>
      </c>
      <c r="D7" s="173" t="s">
        <v>215</v>
      </c>
      <c r="E7" s="173" t="s">
        <v>216</v>
      </c>
      <c r="F7" s="173" t="str">
        <f>G7</f>
        <v>B5</v>
      </c>
      <c r="G7" s="173" t="s">
        <v>236</v>
      </c>
      <c r="H7" s="173" t="s">
        <v>246</v>
      </c>
      <c r="S7" s="174">
        <v>919</v>
      </c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4">
        <f>VLOOKUP(A7,'[1]3- Unit Pricing'!$DW$14:$DY$56,3,FALSE)</f>
        <v>28121400</v>
      </c>
      <c r="AX7" t="s">
        <v>122</v>
      </c>
      <c r="DB7" t="str">
        <f t="shared" si="1"/>
        <v>B5-L2</v>
      </c>
    </row>
    <row r="8" spans="1:106" x14ac:dyDescent="0.35">
      <c r="AE8">
        <f>COLUMN(AE7)</f>
        <v>31</v>
      </c>
      <c r="AV8">
        <f>COLUMN(AV7)</f>
        <v>48</v>
      </c>
    </row>
  </sheetData>
  <conditionalFormatting sqref="AX2:AX6">
    <cfRule type="cellIs" dxfId="226" priority="2" stopIfTrue="1" operator="equal">
      <formula>"Available"</formula>
    </cfRule>
  </conditionalFormatting>
  <conditionalFormatting sqref="AX7">
    <cfRule type="cellIs" dxfId="225" priority="1" stopIfTrue="1" operator="equal">
      <formula>"Available"</formula>
    </cfRule>
  </conditionalFormatting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1" tint="0.249977111117893"/>
  </sheetPr>
  <dimension ref="A1:DG15"/>
  <sheetViews>
    <sheetView zoomScale="85" zoomScaleNormal="85" workbookViewId="0">
      <selection activeCell="U19" sqref="U19"/>
    </sheetView>
  </sheetViews>
  <sheetFormatPr defaultColWidth="8.81640625" defaultRowHeight="14.5" x14ac:dyDescent="0.35"/>
  <cols>
    <col min="2" max="4" width="0" hidden="1" customWidth="1"/>
    <col min="5" max="5" width="26.453125" bestFit="1" customWidth="1"/>
    <col min="6" max="9" width="0" hidden="1" customWidth="1"/>
    <col min="10" max="17" width="8.81640625" hidden="1" customWidth="1"/>
    <col min="18" max="18" width="20.453125" hidden="1" customWidth="1"/>
    <col min="19" max="19" width="8.81640625" hidden="1" customWidth="1"/>
    <col min="20" max="21" width="8.81640625" customWidth="1"/>
    <col min="22" max="22" width="23.54296875" bestFit="1" customWidth="1"/>
    <col min="25" max="29" width="0" hidden="1" customWidth="1"/>
    <col min="30" max="30" width="14" style="6" customWidth="1"/>
    <col min="31" max="31" width="17" bestFit="1" customWidth="1"/>
    <col min="32" max="32" width="10.54296875" hidden="1" customWidth="1"/>
    <col min="33" max="46" width="0" hidden="1" customWidth="1"/>
    <col min="47" max="47" width="32.453125" customWidth="1"/>
    <col min="48" max="48" width="15.453125" customWidth="1"/>
    <col min="101" max="101" width="10.453125" bestFit="1" customWidth="1"/>
    <col min="105" max="106" width="15.81640625" customWidth="1"/>
  </cols>
  <sheetData>
    <row r="1" spans="1:111" x14ac:dyDescent="0.35">
      <c r="B1" t="s">
        <v>4</v>
      </c>
      <c r="C1" t="s">
        <v>5</v>
      </c>
      <c r="D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734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18</v>
      </c>
      <c r="Q1" s="1" t="s">
        <v>19</v>
      </c>
      <c r="R1" s="1" t="s">
        <v>20</v>
      </c>
      <c r="S1" s="2" t="s">
        <v>21</v>
      </c>
      <c r="T1" s="2"/>
      <c r="U1" s="2"/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6" t="s">
        <v>573</v>
      </c>
      <c r="AE1" s="3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3" t="s">
        <v>48</v>
      </c>
      <c r="AW1" s="1" t="s">
        <v>49</v>
      </c>
      <c r="AX1" s="1" t="s">
        <v>21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</row>
    <row r="2" spans="1:111" x14ac:dyDescent="0.35">
      <c r="A2" t="str">
        <f>DB2</f>
        <v>B7A-L3</v>
      </c>
      <c r="B2" t="s">
        <v>100</v>
      </c>
      <c r="C2" t="s">
        <v>101</v>
      </c>
      <c r="D2" t="s">
        <v>248</v>
      </c>
      <c r="E2" t="s">
        <v>249</v>
      </c>
      <c r="F2" t="s">
        <v>250</v>
      </c>
      <c r="G2" t="s">
        <v>778</v>
      </c>
      <c r="H2" t="s">
        <v>166</v>
      </c>
      <c r="I2">
        <v>224</v>
      </c>
      <c r="J2" t="s">
        <v>251</v>
      </c>
      <c r="K2" t="s">
        <v>107</v>
      </c>
      <c r="L2" t="s">
        <v>108</v>
      </c>
      <c r="M2">
        <v>11</v>
      </c>
      <c r="N2" t="s">
        <v>109</v>
      </c>
      <c r="O2">
        <v>2</v>
      </c>
      <c r="P2" t="s">
        <v>110</v>
      </c>
      <c r="R2" t="s">
        <v>252</v>
      </c>
      <c r="S2" s="2">
        <v>309</v>
      </c>
      <c r="T2" s="2">
        <v>0</v>
      </c>
      <c r="U2" s="2"/>
      <c r="V2" t="s">
        <v>113</v>
      </c>
      <c r="W2" t="s">
        <v>114</v>
      </c>
      <c r="X2" t="s">
        <v>115</v>
      </c>
      <c r="AE2" s="4">
        <f>VLOOKUP(A2,'[2]3- Unit Pricing'!$DV$14:$DY$126,4,FALSE)</f>
        <v>10892250</v>
      </c>
      <c r="AF2" t="s">
        <v>116</v>
      </c>
      <c r="AM2" t="s">
        <v>117</v>
      </c>
      <c r="AN2" t="s">
        <v>109</v>
      </c>
      <c r="AO2" t="s">
        <v>118</v>
      </c>
      <c r="AP2" t="s">
        <v>119</v>
      </c>
      <c r="AQ2">
        <v>4</v>
      </c>
      <c r="AR2" t="s">
        <v>120</v>
      </c>
      <c r="AS2" t="s">
        <v>253</v>
      </c>
      <c r="AV2" s="4"/>
      <c r="AX2" t="s">
        <v>122</v>
      </c>
      <c r="AY2" t="s">
        <v>123</v>
      </c>
      <c r="BJ2" t="s">
        <v>124</v>
      </c>
      <c r="BK2" t="s">
        <v>125</v>
      </c>
      <c r="BT2" t="s">
        <v>126</v>
      </c>
      <c r="BU2" t="s">
        <v>126</v>
      </c>
      <c r="BV2" t="s">
        <v>254</v>
      </c>
      <c r="BW2" t="s">
        <v>128</v>
      </c>
      <c r="BX2" t="s">
        <v>145</v>
      </c>
      <c r="BY2" t="s">
        <v>146</v>
      </c>
      <c r="CD2" t="s">
        <v>131</v>
      </c>
      <c r="CE2" t="s">
        <v>132</v>
      </c>
      <c r="CF2" t="s">
        <v>133</v>
      </c>
      <c r="CJ2" t="s">
        <v>156</v>
      </c>
      <c r="CK2" t="s">
        <v>255</v>
      </c>
      <c r="CL2" t="s">
        <v>136</v>
      </c>
      <c r="CM2" t="s">
        <v>137</v>
      </c>
      <c r="CN2" t="s">
        <v>256</v>
      </c>
      <c r="CO2" t="s">
        <v>139</v>
      </c>
      <c r="CR2" t="s">
        <v>140</v>
      </c>
      <c r="CW2" s="6">
        <f>CX2/S2</f>
        <v>39480.000000000007</v>
      </c>
      <c r="CX2">
        <f>(AE2+AV2)*1.12</f>
        <v>12199320.000000002</v>
      </c>
      <c r="CZ2" s="4"/>
      <c r="DA2" s="4"/>
      <c r="DB2" t="str">
        <f>G2&amp;"-"&amp;H2</f>
        <v>B7A-L3</v>
      </c>
    </row>
    <row r="3" spans="1:111" x14ac:dyDescent="0.35">
      <c r="A3" t="str">
        <f t="shared" ref="A3:A10" si="0">DB3</f>
        <v>B2-L18</v>
      </c>
      <c r="B3" t="s">
        <v>100</v>
      </c>
      <c r="C3" t="s">
        <v>101</v>
      </c>
      <c r="D3" t="s">
        <v>257</v>
      </c>
      <c r="E3" t="s">
        <v>258</v>
      </c>
      <c r="F3" t="s">
        <v>217</v>
      </c>
      <c r="G3" t="s">
        <v>217</v>
      </c>
      <c r="H3" t="s">
        <v>259</v>
      </c>
      <c r="I3">
        <v>244</v>
      </c>
      <c r="J3" t="s">
        <v>260</v>
      </c>
      <c r="K3" t="s">
        <v>107</v>
      </c>
      <c r="L3" t="s">
        <v>108</v>
      </c>
      <c r="M3">
        <v>11</v>
      </c>
      <c r="N3" t="s">
        <v>109</v>
      </c>
      <c r="O3">
        <v>2</v>
      </c>
      <c r="P3" t="s">
        <v>110</v>
      </c>
      <c r="R3" t="s">
        <v>261</v>
      </c>
      <c r="S3" s="2">
        <v>541</v>
      </c>
      <c r="T3" s="2">
        <v>0</v>
      </c>
      <c r="U3" s="2"/>
      <c r="V3" t="s">
        <v>113</v>
      </c>
      <c r="W3" t="s">
        <v>114</v>
      </c>
      <c r="X3" t="s">
        <v>115</v>
      </c>
      <c r="AE3" s="4">
        <f>VLOOKUP(A3,'[2]3- Unit Pricing'!$DV$14:$DY$126,4,FALSE)</f>
        <v>21932140</v>
      </c>
      <c r="AF3" t="s">
        <v>116</v>
      </c>
      <c r="AM3" t="s">
        <v>117</v>
      </c>
      <c r="AN3" t="s">
        <v>109</v>
      </c>
      <c r="AO3" t="s">
        <v>118</v>
      </c>
      <c r="AP3" t="s">
        <v>119</v>
      </c>
      <c r="AQ3">
        <v>4</v>
      </c>
      <c r="AR3" t="s">
        <v>120</v>
      </c>
      <c r="AS3" t="s">
        <v>262</v>
      </c>
      <c r="AV3" s="4"/>
      <c r="AX3" t="s">
        <v>122</v>
      </c>
      <c r="AY3" t="s">
        <v>123</v>
      </c>
      <c r="BJ3" t="s">
        <v>124</v>
      </c>
      <c r="BK3" t="s">
        <v>125</v>
      </c>
      <c r="BT3" t="s">
        <v>126</v>
      </c>
      <c r="BU3" t="s">
        <v>126</v>
      </c>
      <c r="BV3" t="s">
        <v>263</v>
      </c>
      <c r="BW3" t="s">
        <v>128</v>
      </c>
      <c r="BX3" t="s">
        <v>264</v>
      </c>
      <c r="BY3" t="s">
        <v>265</v>
      </c>
      <c r="CD3" t="s">
        <v>131</v>
      </c>
      <c r="CE3" t="s">
        <v>132</v>
      </c>
      <c r="CF3" t="s">
        <v>133</v>
      </c>
      <c r="CJ3" t="s">
        <v>134</v>
      </c>
      <c r="CK3" t="s">
        <v>266</v>
      </c>
      <c r="CL3" t="s">
        <v>136</v>
      </c>
      <c r="CM3" t="s">
        <v>137</v>
      </c>
      <c r="CN3" t="s">
        <v>267</v>
      </c>
      <c r="CO3" t="s">
        <v>139</v>
      </c>
      <c r="CR3" t="s">
        <v>140</v>
      </c>
      <c r="CW3" s="6">
        <f t="shared" ref="CW3:CW10" si="1">CX3/S3</f>
        <v>45404.800000000003</v>
      </c>
      <c r="CX3">
        <f t="shared" ref="CX3:CX10" si="2">(AE3+AV3)*1.12</f>
        <v>24563996.800000001</v>
      </c>
      <c r="DB3" t="str">
        <f t="shared" ref="DB3:DB10" si="3">G3&amp;"-"&amp;H3</f>
        <v>B2-L18</v>
      </c>
    </row>
    <row r="4" spans="1:111" x14ac:dyDescent="0.35">
      <c r="A4" t="str">
        <f t="shared" si="0"/>
        <v>B2-L25</v>
      </c>
      <c r="B4" t="s">
        <v>100</v>
      </c>
      <c r="C4" t="s">
        <v>101</v>
      </c>
      <c r="D4" t="s">
        <v>257</v>
      </c>
      <c r="E4" t="s">
        <v>258</v>
      </c>
      <c r="F4" t="s">
        <v>217</v>
      </c>
      <c r="G4" t="s">
        <v>217</v>
      </c>
      <c r="H4" t="s">
        <v>268</v>
      </c>
      <c r="I4">
        <v>251</v>
      </c>
      <c r="J4" t="s">
        <v>269</v>
      </c>
      <c r="K4" t="s">
        <v>107</v>
      </c>
      <c r="L4" t="s">
        <v>108</v>
      </c>
      <c r="M4">
        <v>11</v>
      </c>
      <c r="N4" t="s">
        <v>109</v>
      </c>
      <c r="O4">
        <v>2</v>
      </c>
      <c r="P4" t="s">
        <v>110</v>
      </c>
      <c r="R4" t="s">
        <v>270</v>
      </c>
      <c r="S4" s="2">
        <v>430</v>
      </c>
      <c r="T4" s="2">
        <v>0</v>
      </c>
      <c r="U4" s="2"/>
      <c r="V4" t="s">
        <v>113</v>
      </c>
      <c r="W4" t="s">
        <v>114</v>
      </c>
      <c r="X4" t="s">
        <v>115</v>
      </c>
      <c r="AE4" s="4">
        <f>VLOOKUP(A4,'[2]3- Unit Pricing'!$DV$14:$DY$126,4,FALSE)</f>
        <v>18193300</v>
      </c>
      <c r="AF4" t="s">
        <v>116</v>
      </c>
      <c r="AM4" t="s">
        <v>117</v>
      </c>
      <c r="AN4" t="s">
        <v>109</v>
      </c>
      <c r="AO4" t="s">
        <v>118</v>
      </c>
      <c r="AP4" t="s">
        <v>119</v>
      </c>
      <c r="AQ4">
        <v>4</v>
      </c>
      <c r="AR4" t="s">
        <v>120</v>
      </c>
      <c r="AS4" t="s">
        <v>262</v>
      </c>
      <c r="AV4" s="4"/>
      <c r="AX4" t="s">
        <v>122</v>
      </c>
      <c r="AY4" t="s">
        <v>123</v>
      </c>
      <c r="BJ4" t="s">
        <v>124</v>
      </c>
      <c r="BK4" t="s">
        <v>125</v>
      </c>
      <c r="BT4" t="s">
        <v>126</v>
      </c>
      <c r="BU4" t="s">
        <v>126</v>
      </c>
      <c r="BV4" t="s">
        <v>271</v>
      </c>
      <c r="BW4" t="s">
        <v>128</v>
      </c>
      <c r="BX4" t="s">
        <v>145</v>
      </c>
      <c r="BY4" t="s">
        <v>146</v>
      </c>
      <c r="CD4" t="s">
        <v>131</v>
      </c>
      <c r="CE4" t="s">
        <v>132</v>
      </c>
      <c r="CF4" t="s">
        <v>133</v>
      </c>
      <c r="CJ4" t="s">
        <v>156</v>
      </c>
      <c r="CK4" t="s">
        <v>272</v>
      </c>
      <c r="CL4" t="s">
        <v>136</v>
      </c>
      <c r="CM4" t="s">
        <v>137</v>
      </c>
      <c r="CN4" t="s">
        <v>273</v>
      </c>
      <c r="CO4" t="s">
        <v>139</v>
      </c>
      <c r="CR4" t="s">
        <v>140</v>
      </c>
      <c r="CW4" s="6">
        <f t="shared" si="1"/>
        <v>47387.200000000012</v>
      </c>
      <c r="CX4">
        <f t="shared" si="2"/>
        <v>20376496.000000004</v>
      </c>
      <c r="DB4" t="str">
        <f t="shared" si="3"/>
        <v>B2-L25</v>
      </c>
    </row>
    <row r="5" spans="1:111" s="173" customFormat="1" x14ac:dyDescent="0.35">
      <c r="A5" s="173" t="str">
        <f t="shared" si="0"/>
        <v>B2-L26</v>
      </c>
      <c r="B5" s="173" t="s">
        <v>100</v>
      </c>
      <c r="C5" s="173" t="s">
        <v>101</v>
      </c>
      <c r="D5" s="173" t="s">
        <v>257</v>
      </c>
      <c r="E5" s="173" t="s">
        <v>258</v>
      </c>
      <c r="F5" s="173" t="s">
        <v>217</v>
      </c>
      <c r="G5" s="173" t="s">
        <v>217</v>
      </c>
      <c r="H5" s="173" t="s">
        <v>274</v>
      </c>
      <c r="I5" s="173">
        <v>252</v>
      </c>
      <c r="J5" s="173" t="s">
        <v>275</v>
      </c>
      <c r="K5" s="173" t="s">
        <v>107</v>
      </c>
      <c r="L5" s="173" t="s">
        <v>108</v>
      </c>
      <c r="M5" s="173">
        <v>11</v>
      </c>
      <c r="N5" s="173" t="s">
        <v>109</v>
      </c>
      <c r="O5" s="173">
        <v>2</v>
      </c>
      <c r="P5" s="173" t="s">
        <v>110</v>
      </c>
      <c r="R5" s="173" t="s">
        <v>276</v>
      </c>
      <c r="S5" s="174">
        <v>557</v>
      </c>
      <c r="T5" s="174">
        <v>0</v>
      </c>
      <c r="U5" s="174"/>
      <c r="V5" s="173" t="s">
        <v>113</v>
      </c>
      <c r="W5" s="173" t="s">
        <v>114</v>
      </c>
      <c r="X5" s="173" t="s">
        <v>115</v>
      </c>
      <c r="AD5" s="176"/>
      <c r="AE5" s="4">
        <f>VLOOKUP(A5,'[2]3- Unit Pricing'!$DV$14:$DY$126,4,FALSE)</f>
        <v>23566670</v>
      </c>
      <c r="AF5" s="173" t="s">
        <v>116</v>
      </c>
      <c r="AM5" s="173" t="s">
        <v>117</v>
      </c>
      <c r="AN5" s="173" t="s">
        <v>109</v>
      </c>
      <c r="AO5" s="173" t="s">
        <v>118</v>
      </c>
      <c r="AP5" s="173" t="s">
        <v>119</v>
      </c>
      <c r="AQ5" s="173">
        <v>4</v>
      </c>
      <c r="AR5" s="173" t="s">
        <v>120</v>
      </c>
      <c r="AS5" s="173" t="s">
        <v>262</v>
      </c>
      <c r="AV5" s="175"/>
      <c r="AX5" s="173" t="s">
        <v>122</v>
      </c>
      <c r="AY5" s="173" t="s">
        <v>277</v>
      </c>
      <c r="BJ5" s="173" t="s">
        <v>124</v>
      </c>
      <c r="BK5" s="173" t="s">
        <v>125</v>
      </c>
      <c r="BT5" s="173" t="s">
        <v>126</v>
      </c>
      <c r="BU5" s="173" t="s">
        <v>126</v>
      </c>
      <c r="BV5" s="173" t="s">
        <v>278</v>
      </c>
      <c r="BW5" s="173" t="s">
        <v>279</v>
      </c>
      <c r="BX5" s="173" t="s">
        <v>280</v>
      </c>
      <c r="BY5" s="173" t="s">
        <v>281</v>
      </c>
      <c r="CD5" s="173" t="s">
        <v>131</v>
      </c>
      <c r="CE5" s="173" t="s">
        <v>132</v>
      </c>
      <c r="CF5" s="173" t="s">
        <v>133</v>
      </c>
      <c r="CJ5" s="173" t="s">
        <v>134</v>
      </c>
      <c r="CK5" s="173" t="s">
        <v>266</v>
      </c>
      <c r="CL5" s="173" t="s">
        <v>136</v>
      </c>
      <c r="CM5" s="173" t="s">
        <v>137</v>
      </c>
      <c r="CN5" s="173" t="s">
        <v>282</v>
      </c>
      <c r="CO5" s="173" t="s">
        <v>139</v>
      </c>
      <c r="CR5" s="173" t="s">
        <v>140</v>
      </c>
      <c r="CW5" s="176">
        <f t="shared" si="1"/>
        <v>47387.200000000004</v>
      </c>
      <c r="CX5" s="173">
        <f t="shared" si="2"/>
        <v>26394670.400000002</v>
      </c>
      <c r="DB5" t="str">
        <f t="shared" si="3"/>
        <v>B2-L26</v>
      </c>
    </row>
    <row r="6" spans="1:111" x14ac:dyDescent="0.35">
      <c r="A6" t="str">
        <f t="shared" si="0"/>
        <v>B7B-L13</v>
      </c>
      <c r="B6" t="s">
        <v>100</v>
      </c>
      <c r="C6" t="s">
        <v>101</v>
      </c>
      <c r="D6" t="s">
        <v>257</v>
      </c>
      <c r="E6" t="s">
        <v>258</v>
      </c>
      <c r="F6" t="s">
        <v>283</v>
      </c>
      <c r="G6" t="s">
        <v>779</v>
      </c>
      <c r="H6" t="s">
        <v>218</v>
      </c>
      <c r="I6">
        <v>256</v>
      </c>
      <c r="J6" t="s">
        <v>284</v>
      </c>
      <c r="K6" t="s">
        <v>107</v>
      </c>
      <c r="L6" t="s">
        <v>108</v>
      </c>
      <c r="M6">
        <v>11</v>
      </c>
      <c r="N6" t="s">
        <v>109</v>
      </c>
      <c r="O6">
        <v>2</v>
      </c>
      <c r="P6" t="s">
        <v>110</v>
      </c>
      <c r="R6" t="s">
        <v>285</v>
      </c>
      <c r="S6" s="2">
        <v>363</v>
      </c>
      <c r="T6" s="2">
        <v>0</v>
      </c>
      <c r="U6" s="2" t="s">
        <v>112</v>
      </c>
      <c r="V6" t="s">
        <v>113</v>
      </c>
      <c r="W6" t="s">
        <v>114</v>
      </c>
      <c r="X6" t="s">
        <v>115</v>
      </c>
      <c r="AE6" s="4">
        <f>VLOOKUP(A6,'[2]3- Unit Pricing'!$DV$14:$DY$126,4,FALSE)</f>
        <v>11514360</v>
      </c>
      <c r="AF6" t="s">
        <v>116</v>
      </c>
      <c r="AM6" t="s">
        <v>117</v>
      </c>
      <c r="AN6" t="s">
        <v>109</v>
      </c>
      <c r="AO6" t="s">
        <v>118</v>
      </c>
      <c r="AP6" t="s">
        <v>119</v>
      </c>
      <c r="AQ6">
        <v>4</v>
      </c>
      <c r="AR6" t="s">
        <v>120</v>
      </c>
      <c r="AS6" t="s">
        <v>286</v>
      </c>
      <c r="AV6" s="4"/>
      <c r="AX6" t="s">
        <v>122</v>
      </c>
      <c r="AY6" t="s">
        <v>287</v>
      </c>
      <c r="BJ6" t="s">
        <v>124</v>
      </c>
      <c r="BK6" t="s">
        <v>125</v>
      </c>
      <c r="BT6" t="s">
        <v>126</v>
      </c>
      <c r="BU6" t="s">
        <v>126</v>
      </c>
      <c r="BV6" t="s">
        <v>288</v>
      </c>
      <c r="BW6" t="s">
        <v>128</v>
      </c>
      <c r="BX6" t="s">
        <v>289</v>
      </c>
      <c r="BY6" t="s">
        <v>130</v>
      </c>
      <c r="CD6" t="s">
        <v>131</v>
      </c>
      <c r="CE6" t="s">
        <v>132</v>
      </c>
      <c r="CF6" t="s">
        <v>133</v>
      </c>
      <c r="CJ6" t="s">
        <v>134</v>
      </c>
      <c r="CK6" t="s">
        <v>290</v>
      </c>
      <c r="CL6" t="s">
        <v>136</v>
      </c>
      <c r="CM6" t="s">
        <v>137</v>
      </c>
      <c r="CN6" t="s">
        <v>291</v>
      </c>
      <c r="CO6" t="s">
        <v>139</v>
      </c>
      <c r="CR6" t="s">
        <v>140</v>
      </c>
      <c r="CW6" s="6">
        <f t="shared" si="1"/>
        <v>35526.400000000001</v>
      </c>
      <c r="CX6">
        <f t="shared" si="2"/>
        <v>12896083.200000001</v>
      </c>
      <c r="DB6" t="str">
        <f t="shared" si="3"/>
        <v>B7B-L13</v>
      </c>
    </row>
    <row r="7" spans="1:111" x14ac:dyDescent="0.35">
      <c r="A7" t="str">
        <f t="shared" si="0"/>
        <v>B7B-L16</v>
      </c>
      <c r="B7" t="s">
        <v>100</v>
      </c>
      <c r="C7" t="s">
        <v>101</v>
      </c>
      <c r="D7" t="s">
        <v>257</v>
      </c>
      <c r="E7" t="s">
        <v>258</v>
      </c>
      <c r="F7" t="s">
        <v>283</v>
      </c>
      <c r="G7" t="s">
        <v>779</v>
      </c>
      <c r="H7" t="s">
        <v>292</v>
      </c>
      <c r="I7">
        <v>366</v>
      </c>
      <c r="J7" t="s">
        <v>293</v>
      </c>
      <c r="K7" t="s">
        <v>107</v>
      </c>
      <c r="L7" t="s">
        <v>108</v>
      </c>
      <c r="M7">
        <v>11</v>
      </c>
      <c r="N7" t="s">
        <v>109</v>
      </c>
      <c r="O7">
        <v>2</v>
      </c>
      <c r="P7" t="s">
        <v>110</v>
      </c>
      <c r="R7" t="s">
        <v>294</v>
      </c>
      <c r="S7" s="2">
        <v>311</v>
      </c>
      <c r="T7" s="2">
        <v>0</v>
      </c>
      <c r="U7" s="2" t="s">
        <v>112</v>
      </c>
      <c r="V7" t="s">
        <v>113</v>
      </c>
      <c r="W7" t="s">
        <v>114</v>
      </c>
      <c r="X7" t="s">
        <v>115</v>
      </c>
      <c r="AE7" s="4">
        <f>VLOOKUP(A7,'[2]3- Unit Pricing'!$DV$14:$DY$126,4,FALSE)</f>
        <v>9864920</v>
      </c>
      <c r="AF7" t="s">
        <v>116</v>
      </c>
      <c r="AM7" t="s">
        <v>117</v>
      </c>
      <c r="AN7" t="s">
        <v>109</v>
      </c>
      <c r="AO7" t="s">
        <v>118</v>
      </c>
      <c r="AP7" t="s">
        <v>119</v>
      </c>
      <c r="AQ7">
        <v>4</v>
      </c>
      <c r="AR7" t="s">
        <v>120</v>
      </c>
      <c r="AS7" t="s">
        <v>286</v>
      </c>
      <c r="AV7" s="4"/>
      <c r="AX7" t="s">
        <v>122</v>
      </c>
      <c r="AY7" t="s">
        <v>295</v>
      </c>
      <c r="BJ7" t="s">
        <v>124</v>
      </c>
      <c r="BK7" t="s">
        <v>296</v>
      </c>
      <c r="BT7" t="s">
        <v>126</v>
      </c>
      <c r="BU7" t="s">
        <v>126</v>
      </c>
      <c r="BV7" t="s">
        <v>297</v>
      </c>
      <c r="BW7" t="s">
        <v>128</v>
      </c>
      <c r="BX7" t="s">
        <v>145</v>
      </c>
      <c r="BY7" t="s">
        <v>146</v>
      </c>
      <c r="CD7" t="s">
        <v>131</v>
      </c>
      <c r="CE7" t="s">
        <v>132</v>
      </c>
      <c r="CF7" t="s">
        <v>133</v>
      </c>
      <c r="CJ7" t="s">
        <v>156</v>
      </c>
      <c r="CK7" t="s">
        <v>298</v>
      </c>
      <c r="CL7" t="s">
        <v>136</v>
      </c>
      <c r="CM7" t="s">
        <v>137</v>
      </c>
      <c r="CN7" t="s">
        <v>299</v>
      </c>
      <c r="CO7" t="s">
        <v>139</v>
      </c>
      <c r="CR7" t="s">
        <v>140</v>
      </c>
      <c r="CW7" s="6">
        <f t="shared" si="1"/>
        <v>35526.400000000001</v>
      </c>
      <c r="CX7">
        <f t="shared" si="2"/>
        <v>11048710.4</v>
      </c>
      <c r="DB7" t="str">
        <f t="shared" si="3"/>
        <v>B7B-L16</v>
      </c>
    </row>
    <row r="8" spans="1:111" s="173" customFormat="1" x14ac:dyDescent="0.35">
      <c r="A8" s="173" t="str">
        <f t="shared" si="0"/>
        <v>B7B-L6</v>
      </c>
      <c r="B8" s="173" t="s">
        <v>100</v>
      </c>
      <c r="C8" s="173" t="s">
        <v>101</v>
      </c>
      <c r="D8" s="173" t="s">
        <v>257</v>
      </c>
      <c r="E8" s="173" t="s">
        <v>258</v>
      </c>
      <c r="F8" s="173" t="s">
        <v>283</v>
      </c>
      <c r="G8" s="173" t="s">
        <v>779</v>
      </c>
      <c r="H8" s="173" t="s">
        <v>183</v>
      </c>
      <c r="I8" s="173">
        <v>300</v>
      </c>
      <c r="J8" s="173" t="s">
        <v>300</v>
      </c>
      <c r="K8" s="173" t="s">
        <v>107</v>
      </c>
      <c r="L8" s="173" t="s">
        <v>108</v>
      </c>
      <c r="M8" s="173">
        <v>11</v>
      </c>
      <c r="N8" s="173" t="s">
        <v>109</v>
      </c>
      <c r="O8" s="173">
        <v>2</v>
      </c>
      <c r="P8" s="173" t="s">
        <v>110</v>
      </c>
      <c r="R8" s="173" t="s">
        <v>301</v>
      </c>
      <c r="S8" s="174">
        <v>329</v>
      </c>
      <c r="T8" s="174">
        <v>179</v>
      </c>
      <c r="U8" s="174" t="s">
        <v>112</v>
      </c>
      <c r="V8" s="173" t="s">
        <v>200</v>
      </c>
      <c r="W8" s="173" t="s">
        <v>114</v>
      </c>
      <c r="X8" s="173" t="s">
        <v>115</v>
      </c>
      <c r="AD8" s="176">
        <v>4738600</v>
      </c>
      <c r="AE8" s="4">
        <f>VLOOKUP(A8,'[2]3- Unit Pricing'!$DV$14:$DY$126,4,FALSE)</f>
        <v>11597250</v>
      </c>
      <c r="AF8" s="173" t="s">
        <v>116</v>
      </c>
      <c r="AM8" s="173" t="s">
        <v>117</v>
      </c>
      <c r="AN8" s="173" t="s">
        <v>109</v>
      </c>
      <c r="AO8" s="173" t="s">
        <v>118</v>
      </c>
      <c r="AP8" s="173" t="s">
        <v>119</v>
      </c>
      <c r="AQ8" s="173">
        <v>4</v>
      </c>
      <c r="AR8" s="173" t="s">
        <v>120</v>
      </c>
      <c r="AS8" s="173" t="s">
        <v>286</v>
      </c>
      <c r="AT8" s="173" t="s">
        <v>302</v>
      </c>
      <c r="AU8" s="173" t="s">
        <v>303</v>
      </c>
      <c r="AV8" s="175">
        <v>6120400</v>
      </c>
      <c r="AW8" s="173" t="s">
        <v>304</v>
      </c>
      <c r="AX8" s="173" t="s">
        <v>122</v>
      </c>
      <c r="AY8" s="173" t="s">
        <v>305</v>
      </c>
      <c r="BJ8" s="173" t="s">
        <v>205</v>
      </c>
      <c r="BK8" s="173" t="s">
        <v>306</v>
      </c>
      <c r="BQ8" s="173">
        <v>100</v>
      </c>
      <c r="BR8" s="173" t="s">
        <v>307</v>
      </c>
      <c r="BT8" s="173" t="s">
        <v>126</v>
      </c>
      <c r="BU8" s="173" t="s">
        <v>126</v>
      </c>
      <c r="BV8" s="173" t="s">
        <v>308</v>
      </c>
      <c r="BW8" s="173" t="s">
        <v>309</v>
      </c>
      <c r="BX8" s="173" t="s">
        <v>310</v>
      </c>
      <c r="BY8" s="173" t="s">
        <v>311</v>
      </c>
      <c r="CD8" s="173" t="s">
        <v>131</v>
      </c>
      <c r="CE8" s="173" t="s">
        <v>132</v>
      </c>
      <c r="CF8" s="173" t="s">
        <v>133</v>
      </c>
      <c r="CJ8" s="173" t="s">
        <v>312</v>
      </c>
      <c r="CK8" s="173" t="s">
        <v>313</v>
      </c>
      <c r="CL8" s="173" t="s">
        <v>136</v>
      </c>
      <c r="CM8" s="173" t="s">
        <v>137</v>
      </c>
      <c r="CN8" s="173" t="s">
        <v>314</v>
      </c>
      <c r="CO8" s="173" t="s">
        <v>139</v>
      </c>
      <c r="CR8" s="173" t="s">
        <v>140</v>
      </c>
      <c r="CW8" s="176">
        <f t="shared" si="1"/>
        <v>60315.404255319161</v>
      </c>
      <c r="CX8" s="173">
        <f t="shared" si="2"/>
        <v>19843768.000000004</v>
      </c>
      <c r="DA8" s="175">
        <f>AE8+AV8</f>
        <v>17717650</v>
      </c>
      <c r="DB8" t="str">
        <f t="shared" si="3"/>
        <v>B7B-L6</v>
      </c>
      <c r="DC8" s="173">
        <f>DA8/S8</f>
        <v>53853.03951367781</v>
      </c>
      <c r="DD8" s="173">
        <f>MIN(DC8:DC10)</f>
        <v>46895.147058823532</v>
      </c>
      <c r="DE8" s="173">
        <f>MAX(DC8:DC10)</f>
        <v>53853.03951367781</v>
      </c>
      <c r="DF8" s="175">
        <f>MIN(DA8:DA10)</f>
        <v>16211559</v>
      </c>
      <c r="DG8" s="175">
        <f>MAX(DA8:DA10)</f>
        <v>19133220</v>
      </c>
    </row>
    <row r="9" spans="1:111" s="173" customFormat="1" x14ac:dyDescent="0.35">
      <c r="A9" s="173" t="str">
        <f t="shared" si="0"/>
        <v>B7A-L6</v>
      </c>
      <c r="B9" s="173" t="s">
        <v>100</v>
      </c>
      <c r="C9" s="173" t="s">
        <v>101</v>
      </c>
      <c r="D9" s="173" t="s">
        <v>248</v>
      </c>
      <c r="E9" s="173" t="s">
        <v>249</v>
      </c>
      <c r="F9" s="173" t="s">
        <v>250</v>
      </c>
      <c r="G9" s="173" t="s">
        <v>778</v>
      </c>
      <c r="H9" s="173" t="s">
        <v>183</v>
      </c>
      <c r="I9" s="173">
        <v>362</v>
      </c>
      <c r="J9" s="173" t="s">
        <v>315</v>
      </c>
      <c r="K9" s="173" t="s">
        <v>107</v>
      </c>
      <c r="L9" s="173" t="s">
        <v>108</v>
      </c>
      <c r="M9" s="173">
        <v>11</v>
      </c>
      <c r="N9" s="173" t="s">
        <v>109</v>
      </c>
      <c r="O9" s="173">
        <v>2</v>
      </c>
      <c r="P9" s="173" t="s">
        <v>110</v>
      </c>
      <c r="R9" s="173" t="s">
        <v>316</v>
      </c>
      <c r="S9" s="174">
        <v>328</v>
      </c>
      <c r="T9" s="174">
        <v>231</v>
      </c>
      <c r="U9" s="174" t="s">
        <v>112</v>
      </c>
      <c r="V9" s="173" t="s">
        <v>200</v>
      </c>
      <c r="W9" s="173" t="s">
        <v>114</v>
      </c>
      <c r="X9" s="173" t="s">
        <v>115</v>
      </c>
      <c r="AD9" s="176">
        <v>4631600</v>
      </c>
      <c r="AE9" s="4">
        <f>VLOOKUP(A9,'[2]3- Unit Pricing'!$DV$14:$DY$126,4,FALSE)</f>
        <v>8583939</v>
      </c>
      <c r="AF9" s="173" t="s">
        <v>116</v>
      </c>
      <c r="AM9" s="173" t="s">
        <v>117</v>
      </c>
      <c r="AN9" s="173" t="s">
        <v>109</v>
      </c>
      <c r="AO9" s="173" t="s">
        <v>118</v>
      </c>
      <c r="AP9" s="173" t="s">
        <v>119</v>
      </c>
      <c r="AQ9" s="173">
        <v>4</v>
      </c>
      <c r="AR9" s="173" t="s">
        <v>120</v>
      </c>
      <c r="AS9" s="173" t="s">
        <v>253</v>
      </c>
      <c r="AT9" s="173" t="s">
        <v>317</v>
      </c>
      <c r="AU9" s="173" t="s">
        <v>317</v>
      </c>
      <c r="AV9" s="175">
        <v>7627620</v>
      </c>
      <c r="AW9" s="173" t="s">
        <v>304</v>
      </c>
      <c r="AX9" s="173" t="s">
        <v>122</v>
      </c>
      <c r="AY9" s="173" t="s">
        <v>318</v>
      </c>
      <c r="BJ9" s="173" t="s">
        <v>319</v>
      </c>
      <c r="BK9" s="173" t="s">
        <v>320</v>
      </c>
      <c r="BQ9" s="173">
        <v>100</v>
      </c>
      <c r="BR9" s="173" t="s">
        <v>321</v>
      </c>
      <c r="BT9" s="173" t="s">
        <v>175</v>
      </c>
      <c r="BU9" s="173" t="s">
        <v>175</v>
      </c>
      <c r="BV9" s="173" t="s">
        <v>322</v>
      </c>
      <c r="BW9" s="173" t="s">
        <v>323</v>
      </c>
      <c r="BX9" s="173" t="s">
        <v>324</v>
      </c>
      <c r="BY9" s="173" t="s">
        <v>325</v>
      </c>
      <c r="CD9" s="173" t="s">
        <v>131</v>
      </c>
      <c r="CE9" s="173" t="s">
        <v>132</v>
      </c>
      <c r="CF9" s="173" t="s">
        <v>133</v>
      </c>
      <c r="CJ9" s="173" t="s">
        <v>326</v>
      </c>
      <c r="CK9" s="173" t="s">
        <v>327</v>
      </c>
      <c r="CL9" s="173" t="s">
        <v>136</v>
      </c>
      <c r="CM9" s="173" t="s">
        <v>137</v>
      </c>
      <c r="CN9" s="173" t="s">
        <v>328</v>
      </c>
      <c r="CO9" s="173" t="s">
        <v>139</v>
      </c>
      <c r="CR9" s="173" t="s">
        <v>140</v>
      </c>
      <c r="CW9" s="176">
        <f t="shared" si="1"/>
        <v>55356.542926829272</v>
      </c>
      <c r="CX9" s="173">
        <f t="shared" si="2"/>
        <v>18156946.080000002</v>
      </c>
      <c r="DA9" s="175">
        <f>AE9+AV9</f>
        <v>16211559</v>
      </c>
      <c r="DB9" t="str">
        <f t="shared" si="3"/>
        <v>B7A-L6</v>
      </c>
      <c r="DC9" s="173">
        <f>DA9/S9</f>
        <v>49425.484756097561</v>
      </c>
    </row>
    <row r="10" spans="1:111" s="173" customFormat="1" x14ac:dyDescent="0.35">
      <c r="A10" s="173" t="str">
        <f t="shared" si="0"/>
        <v>B7B-L12</v>
      </c>
      <c r="B10" s="173" t="s">
        <v>100</v>
      </c>
      <c r="C10" s="173" t="s">
        <v>101</v>
      </c>
      <c r="D10" s="173" t="s">
        <v>257</v>
      </c>
      <c r="E10" s="173" t="s">
        <v>258</v>
      </c>
      <c r="F10" s="173" t="s">
        <v>283</v>
      </c>
      <c r="G10" s="173" t="s">
        <v>779</v>
      </c>
      <c r="H10" s="173" t="s">
        <v>329</v>
      </c>
      <c r="I10" s="173">
        <v>255</v>
      </c>
      <c r="J10" s="173" t="s">
        <v>330</v>
      </c>
      <c r="K10" s="173" t="s">
        <v>107</v>
      </c>
      <c r="L10" s="173" t="s">
        <v>108</v>
      </c>
      <c r="M10" s="173">
        <v>11</v>
      </c>
      <c r="N10" s="173" t="s">
        <v>109</v>
      </c>
      <c r="O10" s="173">
        <v>2</v>
      </c>
      <c r="P10" s="173" t="s">
        <v>110</v>
      </c>
      <c r="R10" s="173" t="s">
        <v>331</v>
      </c>
      <c r="S10" s="174">
        <v>408</v>
      </c>
      <c r="T10" s="174">
        <v>231</v>
      </c>
      <c r="U10" s="174" t="s">
        <v>112</v>
      </c>
      <c r="V10" s="173" t="s">
        <v>200</v>
      </c>
      <c r="W10" s="173" t="s">
        <v>114</v>
      </c>
      <c r="X10" s="173" t="s">
        <v>115</v>
      </c>
      <c r="AD10" s="176"/>
      <c r="AE10" s="4">
        <f>VLOOKUP(A10,'[2]3- Unit Pricing'!$DV$14:$DY$126,4,FALSE)</f>
        <v>11505600</v>
      </c>
      <c r="AF10" s="173" t="s">
        <v>116</v>
      </c>
      <c r="AM10" s="173" t="s">
        <v>117</v>
      </c>
      <c r="AN10" s="173" t="s">
        <v>109</v>
      </c>
      <c r="AO10" s="173" t="s">
        <v>118</v>
      </c>
      <c r="AP10" s="173" t="s">
        <v>119</v>
      </c>
      <c r="AQ10" s="173">
        <v>4</v>
      </c>
      <c r="AR10" s="173" t="s">
        <v>120</v>
      </c>
      <c r="AS10" s="173" t="s">
        <v>286</v>
      </c>
      <c r="AT10" s="173" t="s">
        <v>317</v>
      </c>
      <c r="AU10" s="173" t="s">
        <v>317</v>
      </c>
      <c r="AV10" s="175">
        <v>7627620</v>
      </c>
      <c r="AW10" s="173" t="s">
        <v>304</v>
      </c>
      <c r="AX10" s="173" t="s">
        <v>122</v>
      </c>
      <c r="AY10" s="173" t="s">
        <v>332</v>
      </c>
      <c r="BJ10" s="173" t="s">
        <v>333</v>
      </c>
      <c r="BK10" s="173" t="s">
        <v>334</v>
      </c>
      <c r="BQ10" s="173">
        <v>100</v>
      </c>
      <c r="BR10" s="173" t="s">
        <v>335</v>
      </c>
      <c r="BT10" s="173" t="s">
        <v>336</v>
      </c>
      <c r="BU10" s="173" t="s">
        <v>336</v>
      </c>
      <c r="BV10" s="173" t="s">
        <v>337</v>
      </c>
      <c r="BW10" s="173" t="s">
        <v>338</v>
      </c>
      <c r="BX10" s="173" t="s">
        <v>339</v>
      </c>
      <c r="BY10" s="173" t="s">
        <v>340</v>
      </c>
      <c r="CD10" s="173" t="s">
        <v>131</v>
      </c>
      <c r="CE10" s="173" t="s">
        <v>132</v>
      </c>
      <c r="CF10" s="173" t="s">
        <v>133</v>
      </c>
      <c r="CJ10" s="173" t="s">
        <v>341</v>
      </c>
      <c r="CK10" s="173" t="s">
        <v>342</v>
      </c>
      <c r="CL10" s="173" t="s">
        <v>136</v>
      </c>
      <c r="CM10" s="173" t="s">
        <v>137</v>
      </c>
      <c r="CN10" s="173" t="s">
        <v>343</v>
      </c>
      <c r="CO10" s="173" t="s">
        <v>139</v>
      </c>
      <c r="CR10" s="173" t="s">
        <v>140</v>
      </c>
      <c r="CW10" s="176">
        <f t="shared" si="1"/>
        <v>52522.56470588236</v>
      </c>
      <c r="CX10" s="173">
        <f t="shared" si="2"/>
        <v>21429206.400000002</v>
      </c>
      <c r="DA10" s="175">
        <f>AE10+AV10</f>
        <v>19133220</v>
      </c>
      <c r="DB10" t="str">
        <f t="shared" si="3"/>
        <v>B7B-L12</v>
      </c>
      <c r="DC10" s="173">
        <f>DA10/S10</f>
        <v>46895.147058823532</v>
      </c>
    </row>
    <row r="13" spans="1:111" x14ac:dyDescent="0.35">
      <c r="AE13" s="6"/>
      <c r="AF13" s="145">
        <f>AE9/328</f>
        <v>26170.545731707316</v>
      </c>
    </row>
    <row r="15" spans="1:111" x14ac:dyDescent="0.35">
      <c r="AE15" s="145"/>
    </row>
  </sheetData>
  <sheetProtection algorithmName="SHA-512" hashValue="ktdHARvHFIaXOopHIuhbG+C3Cm6o0jVUzE9wYkpFcf+ZJU6PTHPJDjC5KdDIgifW5FRKB4lIq57i0mJIa4WhsA==" saltValue="YMJ0fw5+DhRqrzWhSLWoFw==" spinCount="100000" sheet="1" objects="1" scenarios="1"/>
  <conditionalFormatting sqref="AX2:AX10">
    <cfRule type="cellIs" dxfId="224" priority="1" stopIfTrue="1" operator="equal">
      <formula>"Available"</formula>
    </cfRule>
  </conditionalFormatting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1" tint="0.249977111117893"/>
  </sheetPr>
  <dimension ref="A1:DB18"/>
  <sheetViews>
    <sheetView workbookViewId="0">
      <pane ySplit="1" topLeftCell="A2" activePane="bottomLeft" state="frozen"/>
      <selection activeCell="D35" sqref="D35"/>
      <selection pane="bottomLeft" activeCell="AE3" sqref="AE3"/>
    </sheetView>
  </sheetViews>
  <sheetFormatPr defaultColWidth="8.81640625" defaultRowHeight="14.5" x14ac:dyDescent="0.35"/>
  <cols>
    <col min="1" max="1" width="9.1796875" customWidth="1"/>
    <col min="2" max="4" width="0" hidden="1" customWidth="1"/>
    <col min="5" max="5" width="16.453125" customWidth="1"/>
    <col min="6" max="6" width="0" hidden="1" customWidth="1"/>
    <col min="9" max="18" width="0" hidden="1" customWidth="1"/>
    <col min="20" max="20" width="12.453125" hidden="1" customWidth="1"/>
    <col min="21" max="21" width="0" hidden="1" customWidth="1"/>
    <col min="22" max="22" width="14.7265625" customWidth="1"/>
    <col min="23" max="29" width="8.81640625" hidden="1" customWidth="1"/>
    <col min="30" max="30" width="13.7265625" style="6" customWidth="1"/>
    <col min="31" max="31" width="22.26953125" customWidth="1"/>
    <col min="32" max="32" width="11.7265625" hidden="1" customWidth="1"/>
    <col min="33" max="46" width="0" hidden="1" customWidth="1"/>
    <col min="47" max="47" width="31.453125" customWidth="1"/>
    <col min="48" max="48" width="16.453125" style="6" customWidth="1"/>
    <col min="101" max="101" width="18.26953125" customWidth="1"/>
    <col min="102" max="102" width="17.453125" customWidth="1"/>
  </cols>
  <sheetData>
    <row r="1" spans="1:106" x14ac:dyDescent="0.35">
      <c r="B1" t="s">
        <v>4</v>
      </c>
      <c r="C1" t="s">
        <v>5</v>
      </c>
      <c r="D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18</v>
      </c>
      <c r="Q1" s="1" t="s">
        <v>19</v>
      </c>
      <c r="R1" s="1" t="s">
        <v>20</v>
      </c>
      <c r="S1" s="2" t="s">
        <v>734</v>
      </c>
      <c r="T1" s="2"/>
      <c r="U1" s="2"/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6" t="s">
        <v>30</v>
      </c>
      <c r="AE1" s="3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6" t="s">
        <v>48</v>
      </c>
      <c r="AW1" s="1" t="s">
        <v>49</v>
      </c>
      <c r="AX1" s="1" t="s">
        <v>21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</row>
    <row r="2" spans="1:106" x14ac:dyDescent="0.35">
      <c r="A2" t="str">
        <f>DB2</f>
        <v>B1 L11</v>
      </c>
      <c r="B2" t="s">
        <v>100</v>
      </c>
      <c r="C2" t="s">
        <v>101</v>
      </c>
      <c r="D2" t="s">
        <v>102</v>
      </c>
      <c r="E2" t="s">
        <v>103</v>
      </c>
      <c r="F2" t="s">
        <v>104</v>
      </c>
      <c r="G2" t="s">
        <v>104</v>
      </c>
      <c r="H2" t="s">
        <v>105</v>
      </c>
      <c r="I2">
        <v>11</v>
      </c>
      <c r="J2" t="s">
        <v>106</v>
      </c>
      <c r="K2" t="s">
        <v>107</v>
      </c>
      <c r="L2" t="s">
        <v>108</v>
      </c>
      <c r="M2">
        <v>11</v>
      </c>
      <c r="N2" t="s">
        <v>109</v>
      </c>
      <c r="O2">
        <v>2</v>
      </c>
      <c r="P2" t="s">
        <v>110</v>
      </c>
      <c r="R2" t="s">
        <v>111</v>
      </c>
      <c r="S2" s="2">
        <v>428</v>
      </c>
      <c r="T2" s="2">
        <v>0</v>
      </c>
      <c r="U2" s="2">
        <f t="shared" ref="U2:U10" si="0">AE2/S2</f>
        <v>17690</v>
      </c>
      <c r="V2" t="s">
        <v>113</v>
      </c>
      <c r="W2" t="s">
        <v>114</v>
      </c>
      <c r="X2" t="s">
        <v>115</v>
      </c>
      <c r="AE2" s="4">
        <v>7571320</v>
      </c>
      <c r="AF2" t="s">
        <v>116</v>
      </c>
      <c r="AM2" t="s">
        <v>117</v>
      </c>
      <c r="AN2" t="s">
        <v>109</v>
      </c>
      <c r="AO2" t="s">
        <v>118</v>
      </c>
      <c r="AP2" t="s">
        <v>119</v>
      </c>
      <c r="AQ2">
        <v>4</v>
      </c>
      <c r="AR2" t="s">
        <v>120</v>
      </c>
      <c r="AS2" t="s">
        <v>121</v>
      </c>
      <c r="AX2" t="s">
        <v>122</v>
      </c>
      <c r="AY2" t="s">
        <v>123</v>
      </c>
      <c r="BJ2" t="s">
        <v>124</v>
      </c>
      <c r="BK2" t="s">
        <v>125</v>
      </c>
      <c r="BT2" t="s">
        <v>126</v>
      </c>
      <c r="BU2" t="s">
        <v>126</v>
      </c>
      <c r="BV2" t="s">
        <v>127</v>
      </c>
      <c r="BW2" t="s">
        <v>128</v>
      </c>
      <c r="BX2" t="s">
        <v>129</v>
      </c>
      <c r="BY2" t="s">
        <v>130</v>
      </c>
      <c r="CD2" t="s">
        <v>131</v>
      </c>
      <c r="CE2" t="s">
        <v>132</v>
      </c>
      <c r="CF2" t="s">
        <v>133</v>
      </c>
      <c r="CJ2" t="s">
        <v>134</v>
      </c>
      <c r="CK2" t="s">
        <v>135</v>
      </c>
      <c r="CL2" t="s">
        <v>136</v>
      </c>
      <c r="CM2" t="s">
        <v>137</v>
      </c>
      <c r="CN2" t="s">
        <v>138</v>
      </c>
      <c r="CO2" t="s">
        <v>139</v>
      </c>
      <c r="CR2" t="s">
        <v>140</v>
      </c>
      <c r="CW2" s="6">
        <f>CX2/S2</f>
        <v>19812.8</v>
      </c>
      <c r="CX2" s="6">
        <f>(AE2+AV2)*1.12</f>
        <v>8479878.4000000004</v>
      </c>
      <c r="CZ2" s="4"/>
      <c r="DA2" s="4"/>
      <c r="DB2" t="str">
        <f>G2&amp;" "&amp;H2</f>
        <v>B1 L11</v>
      </c>
    </row>
    <row r="3" spans="1:106" x14ac:dyDescent="0.35">
      <c r="A3" t="str">
        <f t="shared" ref="A3:A11" si="1">DB3</f>
        <v>B1 L23</v>
      </c>
      <c r="B3" t="s">
        <v>100</v>
      </c>
      <c r="C3" t="s">
        <v>101</v>
      </c>
      <c r="D3" t="s">
        <v>102</v>
      </c>
      <c r="E3" t="s">
        <v>103</v>
      </c>
      <c r="F3" t="s">
        <v>104</v>
      </c>
      <c r="G3" t="s">
        <v>104</v>
      </c>
      <c r="H3" t="s">
        <v>141</v>
      </c>
      <c r="I3">
        <v>23</v>
      </c>
      <c r="J3" t="s">
        <v>142</v>
      </c>
      <c r="K3" t="s">
        <v>107</v>
      </c>
      <c r="L3" t="s">
        <v>108</v>
      </c>
      <c r="M3">
        <v>11</v>
      </c>
      <c r="N3" t="s">
        <v>109</v>
      </c>
      <c r="O3">
        <v>2</v>
      </c>
      <c r="P3" t="s">
        <v>110</v>
      </c>
      <c r="R3" t="s">
        <v>143</v>
      </c>
      <c r="S3" s="2">
        <v>421</v>
      </c>
      <c r="T3" s="2">
        <v>0</v>
      </c>
      <c r="U3" s="2">
        <f t="shared" si="0"/>
        <v>16770</v>
      </c>
      <c r="V3" t="s">
        <v>113</v>
      </c>
      <c r="W3" t="s">
        <v>114</v>
      </c>
      <c r="X3" t="s">
        <v>115</v>
      </c>
      <c r="AE3" s="4">
        <v>7060170</v>
      </c>
      <c r="AF3" t="s">
        <v>116</v>
      </c>
      <c r="AM3" t="s">
        <v>117</v>
      </c>
      <c r="AN3" t="s">
        <v>109</v>
      </c>
      <c r="AO3" t="s">
        <v>118</v>
      </c>
      <c r="AP3" t="s">
        <v>119</v>
      </c>
      <c r="AQ3">
        <v>4</v>
      </c>
      <c r="AR3" t="s">
        <v>120</v>
      </c>
      <c r="AS3" t="s">
        <v>121</v>
      </c>
      <c r="AX3" t="s">
        <v>122</v>
      </c>
      <c r="AY3" t="s">
        <v>123</v>
      </c>
      <c r="BJ3" t="s">
        <v>124</v>
      </c>
      <c r="BK3" t="s">
        <v>125</v>
      </c>
      <c r="BT3" t="s">
        <v>126</v>
      </c>
      <c r="BU3" t="s">
        <v>126</v>
      </c>
      <c r="BV3" t="s">
        <v>144</v>
      </c>
      <c r="BW3" t="s">
        <v>128</v>
      </c>
      <c r="BX3" t="s">
        <v>145</v>
      </c>
      <c r="BY3" t="s">
        <v>146</v>
      </c>
      <c r="CD3" t="s">
        <v>131</v>
      </c>
      <c r="CE3" t="s">
        <v>132</v>
      </c>
      <c r="CF3" t="s">
        <v>133</v>
      </c>
      <c r="CJ3" t="s">
        <v>134</v>
      </c>
      <c r="CK3" t="s">
        <v>135</v>
      </c>
      <c r="CL3" t="s">
        <v>136</v>
      </c>
      <c r="CM3" t="s">
        <v>137</v>
      </c>
      <c r="CN3" t="s">
        <v>147</v>
      </c>
      <c r="CO3" t="s">
        <v>139</v>
      </c>
      <c r="CR3" t="s">
        <v>140</v>
      </c>
      <c r="CW3" s="6">
        <f t="shared" ref="CW3:CW10" si="2">CX3/S3</f>
        <v>18782.400000000001</v>
      </c>
      <c r="CX3" s="6">
        <f t="shared" ref="CX3:CX10" si="3">(AE3+AV3)*1.12</f>
        <v>7907390.4000000004</v>
      </c>
      <c r="DB3" t="str">
        <f t="shared" ref="DB3:DB11" si="4">G3&amp;" "&amp;H3</f>
        <v>B1 L23</v>
      </c>
    </row>
    <row r="4" spans="1:106" x14ac:dyDescent="0.35">
      <c r="A4" t="str">
        <f t="shared" si="1"/>
        <v>B1 L9</v>
      </c>
      <c r="B4" t="s">
        <v>100</v>
      </c>
      <c r="C4" t="s">
        <v>101</v>
      </c>
      <c r="D4" t="s">
        <v>102</v>
      </c>
      <c r="E4" t="s">
        <v>103</v>
      </c>
      <c r="F4" t="s">
        <v>104</v>
      </c>
      <c r="G4" t="s">
        <v>104</v>
      </c>
      <c r="H4" t="s">
        <v>148</v>
      </c>
      <c r="I4">
        <v>9</v>
      </c>
      <c r="J4" t="s">
        <v>149</v>
      </c>
      <c r="K4" t="s">
        <v>107</v>
      </c>
      <c r="L4" t="s">
        <v>108</v>
      </c>
      <c r="M4">
        <v>11</v>
      </c>
      <c r="N4" t="s">
        <v>109</v>
      </c>
      <c r="O4">
        <v>2</v>
      </c>
      <c r="P4" t="s">
        <v>110</v>
      </c>
      <c r="R4" t="s">
        <v>150</v>
      </c>
      <c r="S4" s="2">
        <v>386</v>
      </c>
      <c r="T4" s="2">
        <v>0</v>
      </c>
      <c r="U4" s="2">
        <f t="shared" si="0"/>
        <v>18630</v>
      </c>
      <c r="V4" t="s">
        <v>113</v>
      </c>
      <c r="W4" t="s">
        <v>114</v>
      </c>
      <c r="X4" t="s">
        <v>115</v>
      </c>
      <c r="AE4" s="4">
        <v>7191180</v>
      </c>
      <c r="AF4" t="s">
        <v>116</v>
      </c>
      <c r="AM4" t="s">
        <v>117</v>
      </c>
      <c r="AN4" t="s">
        <v>109</v>
      </c>
      <c r="AO4" t="s">
        <v>118</v>
      </c>
      <c r="AP4" t="s">
        <v>119</v>
      </c>
      <c r="AQ4">
        <v>4</v>
      </c>
      <c r="AR4" t="s">
        <v>120</v>
      </c>
      <c r="AS4" t="s">
        <v>121</v>
      </c>
      <c r="AX4" t="s">
        <v>122</v>
      </c>
      <c r="AY4" t="s">
        <v>151</v>
      </c>
      <c r="BJ4" t="s">
        <v>124</v>
      </c>
      <c r="BK4" t="s">
        <v>125</v>
      </c>
      <c r="BT4" t="s">
        <v>126</v>
      </c>
      <c r="BU4" t="s">
        <v>126</v>
      </c>
      <c r="BV4" t="s">
        <v>152</v>
      </c>
      <c r="BW4" t="s">
        <v>153</v>
      </c>
      <c r="BX4" t="s">
        <v>154</v>
      </c>
      <c r="BY4" t="s">
        <v>155</v>
      </c>
      <c r="CD4" t="s">
        <v>131</v>
      </c>
      <c r="CE4" t="s">
        <v>132</v>
      </c>
      <c r="CF4" t="s">
        <v>133</v>
      </c>
      <c r="CJ4" t="s">
        <v>156</v>
      </c>
      <c r="CK4" t="s">
        <v>157</v>
      </c>
      <c r="CL4" t="s">
        <v>136</v>
      </c>
      <c r="CM4" t="s">
        <v>137</v>
      </c>
      <c r="CN4" t="s">
        <v>158</v>
      </c>
      <c r="CO4" t="s">
        <v>139</v>
      </c>
      <c r="CR4" t="s">
        <v>140</v>
      </c>
      <c r="CW4" s="6">
        <f t="shared" si="2"/>
        <v>20865.600000000002</v>
      </c>
      <c r="CX4" s="6">
        <f t="shared" si="3"/>
        <v>8054121.6000000006</v>
      </c>
      <c r="DB4" t="str">
        <f t="shared" si="4"/>
        <v>B1 L9</v>
      </c>
    </row>
    <row r="5" spans="1:106" x14ac:dyDescent="0.35">
      <c r="A5" t="str">
        <f t="shared" si="1"/>
        <v>B15 L1</v>
      </c>
      <c r="B5" t="s">
        <v>100</v>
      </c>
      <c r="C5" t="s">
        <v>101</v>
      </c>
      <c r="D5" t="s">
        <v>102</v>
      </c>
      <c r="E5" t="s">
        <v>103</v>
      </c>
      <c r="F5" t="s">
        <v>159</v>
      </c>
      <c r="G5" t="s">
        <v>159</v>
      </c>
      <c r="H5" t="s">
        <v>160</v>
      </c>
      <c r="I5">
        <v>80</v>
      </c>
      <c r="J5" t="s">
        <v>161</v>
      </c>
      <c r="K5" t="s">
        <v>107</v>
      </c>
      <c r="L5" t="s">
        <v>108</v>
      </c>
      <c r="M5">
        <v>11</v>
      </c>
      <c r="N5" t="s">
        <v>109</v>
      </c>
      <c r="O5">
        <v>2</v>
      </c>
      <c r="P5" t="s">
        <v>110</v>
      </c>
      <c r="R5" t="s">
        <v>162</v>
      </c>
      <c r="S5" s="2">
        <v>734</v>
      </c>
      <c r="T5" s="2">
        <v>0</v>
      </c>
      <c r="U5" s="2">
        <f t="shared" si="0"/>
        <v>17690</v>
      </c>
      <c r="V5" t="s">
        <v>113</v>
      </c>
      <c r="W5" t="s">
        <v>114</v>
      </c>
      <c r="X5" t="s">
        <v>115</v>
      </c>
      <c r="AE5" s="4">
        <v>12984460</v>
      </c>
      <c r="AF5" t="s">
        <v>116</v>
      </c>
      <c r="AM5" t="s">
        <v>117</v>
      </c>
      <c r="AN5" t="s">
        <v>109</v>
      </c>
      <c r="AO5" t="s">
        <v>118</v>
      </c>
      <c r="AP5" t="s">
        <v>119</v>
      </c>
      <c r="AQ5">
        <v>4</v>
      </c>
      <c r="AR5" t="s">
        <v>120</v>
      </c>
      <c r="AS5" t="s">
        <v>163</v>
      </c>
      <c r="AX5" t="s">
        <v>122</v>
      </c>
      <c r="AY5" t="s">
        <v>123</v>
      </c>
      <c r="BJ5" t="s">
        <v>124</v>
      </c>
      <c r="BK5" t="s">
        <v>125</v>
      </c>
      <c r="BT5" t="s">
        <v>126</v>
      </c>
      <c r="BU5" t="s">
        <v>126</v>
      </c>
      <c r="BV5" t="s">
        <v>164</v>
      </c>
      <c r="BW5" t="s">
        <v>128</v>
      </c>
      <c r="BX5" t="s">
        <v>145</v>
      </c>
      <c r="BY5" t="s">
        <v>146</v>
      </c>
      <c r="CD5" t="s">
        <v>131</v>
      </c>
      <c r="CE5" t="s">
        <v>132</v>
      </c>
      <c r="CF5" t="s">
        <v>133</v>
      </c>
      <c r="CJ5" t="s">
        <v>134</v>
      </c>
      <c r="CK5" t="s">
        <v>135</v>
      </c>
      <c r="CL5" t="s">
        <v>136</v>
      </c>
      <c r="CM5" t="s">
        <v>137</v>
      </c>
      <c r="CN5" t="s">
        <v>165</v>
      </c>
      <c r="CO5" t="s">
        <v>139</v>
      </c>
      <c r="CR5" t="s">
        <v>140</v>
      </c>
      <c r="CW5" s="6">
        <f t="shared" si="2"/>
        <v>19812.800000000003</v>
      </c>
      <c r="CX5" s="6">
        <f t="shared" si="3"/>
        <v>14542595.200000001</v>
      </c>
      <c r="DB5" t="str">
        <f t="shared" si="4"/>
        <v>B15 L1</v>
      </c>
    </row>
    <row r="6" spans="1:106" x14ac:dyDescent="0.35">
      <c r="A6" t="str">
        <f t="shared" si="1"/>
        <v>B15 L3</v>
      </c>
      <c r="B6" t="s">
        <v>100</v>
      </c>
      <c r="C6" t="s">
        <v>101</v>
      </c>
      <c r="D6" t="s">
        <v>102</v>
      </c>
      <c r="E6" t="s">
        <v>103</v>
      </c>
      <c r="F6" t="s">
        <v>159</v>
      </c>
      <c r="G6" t="s">
        <v>159</v>
      </c>
      <c r="H6" t="s">
        <v>166</v>
      </c>
      <c r="I6">
        <v>82</v>
      </c>
      <c r="J6" t="s">
        <v>167</v>
      </c>
      <c r="K6" t="s">
        <v>107</v>
      </c>
      <c r="L6" t="s">
        <v>108</v>
      </c>
      <c r="M6">
        <v>11</v>
      </c>
      <c r="N6" t="s">
        <v>109</v>
      </c>
      <c r="O6">
        <v>2</v>
      </c>
      <c r="P6" t="s">
        <v>110</v>
      </c>
      <c r="R6" t="s">
        <v>168</v>
      </c>
      <c r="S6" s="2">
        <v>1001</v>
      </c>
      <c r="T6" s="2">
        <v>0</v>
      </c>
      <c r="U6" s="2">
        <f t="shared" si="0"/>
        <v>18620</v>
      </c>
      <c r="V6" t="s">
        <v>113</v>
      </c>
      <c r="W6" t="s">
        <v>114</v>
      </c>
      <c r="X6" t="s">
        <v>115</v>
      </c>
      <c r="AE6" s="4">
        <v>18638620</v>
      </c>
      <c r="AF6" t="s">
        <v>116</v>
      </c>
      <c r="AM6" t="s">
        <v>117</v>
      </c>
      <c r="AN6" t="s">
        <v>109</v>
      </c>
      <c r="AO6" t="s">
        <v>118</v>
      </c>
      <c r="AP6" t="s">
        <v>119</v>
      </c>
      <c r="AQ6">
        <v>4</v>
      </c>
      <c r="AR6" t="s">
        <v>120</v>
      </c>
      <c r="AS6" t="s">
        <v>163</v>
      </c>
      <c r="AX6" t="s">
        <v>122</v>
      </c>
      <c r="AY6" t="s">
        <v>169</v>
      </c>
      <c r="BJ6" t="s">
        <v>124</v>
      </c>
      <c r="BK6" t="s">
        <v>125</v>
      </c>
      <c r="BT6" t="s">
        <v>126</v>
      </c>
      <c r="BU6" t="s">
        <v>126</v>
      </c>
      <c r="BV6" t="s">
        <v>170</v>
      </c>
      <c r="BW6" t="s">
        <v>171</v>
      </c>
      <c r="BX6" t="s">
        <v>172</v>
      </c>
      <c r="BY6" t="s">
        <v>173</v>
      </c>
      <c r="CD6" t="s">
        <v>131</v>
      </c>
      <c r="CE6" t="s">
        <v>132</v>
      </c>
      <c r="CF6" t="s">
        <v>133</v>
      </c>
      <c r="CJ6" t="s">
        <v>134</v>
      </c>
      <c r="CK6" t="s">
        <v>135</v>
      </c>
      <c r="CL6" t="s">
        <v>136</v>
      </c>
      <c r="CM6" t="s">
        <v>137</v>
      </c>
      <c r="CN6" t="s">
        <v>174</v>
      </c>
      <c r="CO6" t="s">
        <v>139</v>
      </c>
      <c r="CR6" t="s">
        <v>140</v>
      </c>
      <c r="CW6" s="6">
        <f t="shared" si="2"/>
        <v>20854.400000000001</v>
      </c>
      <c r="CX6" s="6">
        <f t="shared" si="3"/>
        <v>20875254.400000002</v>
      </c>
      <c r="DB6" t="str">
        <f t="shared" si="4"/>
        <v>B15 L3</v>
      </c>
    </row>
    <row r="7" spans="1:106" x14ac:dyDescent="0.35">
      <c r="A7" t="str">
        <f t="shared" si="1"/>
        <v>B9 L5</v>
      </c>
      <c r="B7" t="s">
        <v>100</v>
      </c>
      <c r="C7" t="s">
        <v>101</v>
      </c>
      <c r="D7" t="s">
        <v>102</v>
      </c>
      <c r="E7" t="s">
        <v>103</v>
      </c>
      <c r="F7" t="s">
        <v>176</v>
      </c>
      <c r="G7" t="s">
        <v>176</v>
      </c>
      <c r="H7" t="s">
        <v>177</v>
      </c>
      <c r="I7">
        <v>62</v>
      </c>
      <c r="J7" t="s">
        <v>178</v>
      </c>
      <c r="K7" t="s">
        <v>107</v>
      </c>
      <c r="L7" t="s">
        <v>108</v>
      </c>
      <c r="M7">
        <v>11</v>
      </c>
      <c r="N7" t="s">
        <v>109</v>
      </c>
      <c r="O7">
        <v>2</v>
      </c>
      <c r="P7" t="s">
        <v>110</v>
      </c>
      <c r="R7" t="s">
        <v>179</v>
      </c>
      <c r="S7" s="2">
        <v>848</v>
      </c>
      <c r="T7" s="2">
        <v>0</v>
      </c>
      <c r="U7" s="2">
        <f t="shared" si="0"/>
        <v>20490</v>
      </c>
      <c r="V7" t="s">
        <v>113</v>
      </c>
      <c r="W7" t="s">
        <v>114</v>
      </c>
      <c r="X7" t="s">
        <v>115</v>
      </c>
      <c r="AE7" s="4">
        <v>17375520</v>
      </c>
      <c r="AF7" t="s">
        <v>116</v>
      </c>
      <c r="AM7" t="s">
        <v>117</v>
      </c>
      <c r="AN7" t="s">
        <v>109</v>
      </c>
      <c r="AO7" t="s">
        <v>118</v>
      </c>
      <c r="AP7" t="s">
        <v>119</v>
      </c>
      <c r="AQ7">
        <v>4</v>
      </c>
      <c r="AR7" t="s">
        <v>120</v>
      </c>
      <c r="AS7" t="s">
        <v>180</v>
      </c>
      <c r="AX7" t="s">
        <v>122</v>
      </c>
      <c r="AY7" t="s">
        <v>123</v>
      </c>
      <c r="BJ7" t="s">
        <v>124</v>
      </c>
      <c r="BK7" t="s">
        <v>125</v>
      </c>
      <c r="BT7" t="s">
        <v>126</v>
      </c>
      <c r="BU7" t="s">
        <v>126</v>
      </c>
      <c r="BV7" t="s">
        <v>181</v>
      </c>
      <c r="BW7" t="s">
        <v>128</v>
      </c>
      <c r="BX7" t="s">
        <v>145</v>
      </c>
      <c r="BY7" t="s">
        <v>146</v>
      </c>
      <c r="CD7" t="s">
        <v>131</v>
      </c>
      <c r="CE7" t="s">
        <v>132</v>
      </c>
      <c r="CF7" t="s">
        <v>133</v>
      </c>
      <c r="CJ7" t="s">
        <v>134</v>
      </c>
      <c r="CK7" t="s">
        <v>135</v>
      </c>
      <c r="CL7" t="s">
        <v>136</v>
      </c>
      <c r="CM7" t="s">
        <v>137</v>
      </c>
      <c r="CN7" t="s">
        <v>182</v>
      </c>
      <c r="CO7" t="s">
        <v>139</v>
      </c>
      <c r="CR7" t="s">
        <v>140</v>
      </c>
      <c r="CW7" s="6">
        <f t="shared" si="2"/>
        <v>22948.800000000003</v>
      </c>
      <c r="CX7" s="6">
        <f t="shared" si="3"/>
        <v>19460582.400000002</v>
      </c>
      <c r="DB7" t="str">
        <f t="shared" si="4"/>
        <v>B9 L5</v>
      </c>
    </row>
    <row r="8" spans="1:106" x14ac:dyDescent="0.35">
      <c r="A8" t="str">
        <f t="shared" si="1"/>
        <v>B9 L6</v>
      </c>
      <c r="B8" t="s">
        <v>100</v>
      </c>
      <c r="C8" t="s">
        <v>101</v>
      </c>
      <c r="D8" t="s">
        <v>102</v>
      </c>
      <c r="E8" t="s">
        <v>103</v>
      </c>
      <c r="F8" t="s">
        <v>176</v>
      </c>
      <c r="G8" t="s">
        <v>176</v>
      </c>
      <c r="H8" t="s">
        <v>183</v>
      </c>
      <c r="I8">
        <v>63</v>
      </c>
      <c r="J8" t="s">
        <v>184</v>
      </c>
      <c r="K8" t="s">
        <v>107</v>
      </c>
      <c r="L8" t="s">
        <v>108</v>
      </c>
      <c r="M8">
        <v>11</v>
      </c>
      <c r="N8" t="s">
        <v>109</v>
      </c>
      <c r="O8">
        <v>2</v>
      </c>
      <c r="P8" t="s">
        <v>110</v>
      </c>
      <c r="R8" t="s">
        <v>185</v>
      </c>
      <c r="S8" s="2">
        <v>604</v>
      </c>
      <c r="T8" s="2">
        <v>0</v>
      </c>
      <c r="U8" s="2">
        <f t="shared" si="0"/>
        <v>20490</v>
      </c>
      <c r="V8" t="s">
        <v>113</v>
      </c>
      <c r="W8" t="s">
        <v>114</v>
      </c>
      <c r="X8" t="s">
        <v>115</v>
      </c>
      <c r="AE8" s="4">
        <v>12375960</v>
      </c>
      <c r="AF8" t="s">
        <v>116</v>
      </c>
      <c r="AM8" t="s">
        <v>117</v>
      </c>
      <c r="AN8" t="s">
        <v>109</v>
      </c>
      <c r="AO8" t="s">
        <v>118</v>
      </c>
      <c r="AP8" t="s">
        <v>119</v>
      </c>
      <c r="AQ8">
        <v>4</v>
      </c>
      <c r="AR8" t="s">
        <v>120</v>
      </c>
      <c r="AS8" t="s">
        <v>180</v>
      </c>
      <c r="AX8" t="s">
        <v>122</v>
      </c>
      <c r="AY8" t="s">
        <v>123</v>
      </c>
      <c r="BJ8" t="s">
        <v>124</v>
      </c>
      <c r="BK8" t="s">
        <v>125</v>
      </c>
      <c r="BT8" t="s">
        <v>126</v>
      </c>
      <c r="BU8" t="s">
        <v>126</v>
      </c>
      <c r="BV8" t="s">
        <v>181</v>
      </c>
      <c r="BW8" t="s">
        <v>128</v>
      </c>
      <c r="BX8" t="s">
        <v>145</v>
      </c>
      <c r="BY8" t="s">
        <v>146</v>
      </c>
      <c r="CD8" t="s">
        <v>131</v>
      </c>
      <c r="CE8" t="s">
        <v>132</v>
      </c>
      <c r="CF8" t="s">
        <v>133</v>
      </c>
      <c r="CJ8" t="s">
        <v>156</v>
      </c>
      <c r="CK8" t="s">
        <v>157</v>
      </c>
      <c r="CL8" t="s">
        <v>136</v>
      </c>
      <c r="CM8" t="s">
        <v>137</v>
      </c>
      <c r="CN8" t="s">
        <v>186</v>
      </c>
      <c r="CO8" t="s">
        <v>139</v>
      </c>
      <c r="CR8" t="s">
        <v>140</v>
      </c>
      <c r="CW8" s="6">
        <f t="shared" si="2"/>
        <v>22948.800000000003</v>
      </c>
      <c r="CX8" s="6">
        <f t="shared" si="3"/>
        <v>13861075.200000001</v>
      </c>
      <c r="DB8" t="str">
        <f t="shared" si="4"/>
        <v>B9 L6</v>
      </c>
    </row>
    <row r="9" spans="1:106" x14ac:dyDescent="0.35">
      <c r="A9" t="str">
        <f t="shared" si="1"/>
        <v>B9 L9</v>
      </c>
      <c r="B9" t="s">
        <v>100</v>
      </c>
      <c r="C9" t="s">
        <v>101</v>
      </c>
      <c r="D9" t="s">
        <v>102</v>
      </c>
      <c r="E9" t="s">
        <v>103</v>
      </c>
      <c r="F9" t="s">
        <v>176</v>
      </c>
      <c r="G9" t="s">
        <v>176</v>
      </c>
      <c r="H9" t="s">
        <v>148</v>
      </c>
      <c r="I9">
        <v>66</v>
      </c>
      <c r="J9" t="s">
        <v>187</v>
      </c>
      <c r="K9" t="s">
        <v>107</v>
      </c>
      <c r="L9" t="s">
        <v>108</v>
      </c>
      <c r="M9">
        <v>11</v>
      </c>
      <c r="N9" t="s">
        <v>109</v>
      </c>
      <c r="O9">
        <v>2</v>
      </c>
      <c r="P9" t="s">
        <v>110</v>
      </c>
      <c r="R9" t="s">
        <v>188</v>
      </c>
      <c r="S9" s="2">
        <v>738</v>
      </c>
      <c r="T9" s="2">
        <v>0</v>
      </c>
      <c r="U9" s="2">
        <f t="shared" si="0"/>
        <v>22370</v>
      </c>
      <c r="V9" t="s">
        <v>113</v>
      </c>
      <c r="W9" t="s">
        <v>114</v>
      </c>
      <c r="X9" t="s">
        <v>115</v>
      </c>
      <c r="AE9" s="4">
        <v>16509060</v>
      </c>
      <c r="AF9" t="s">
        <v>116</v>
      </c>
      <c r="AM9" t="s">
        <v>117</v>
      </c>
      <c r="AN9" t="s">
        <v>109</v>
      </c>
      <c r="AO9" t="s">
        <v>118</v>
      </c>
      <c r="AP9" t="s">
        <v>119</v>
      </c>
      <c r="AQ9">
        <v>4</v>
      </c>
      <c r="AR9" t="s">
        <v>120</v>
      </c>
      <c r="AS9" t="s">
        <v>180</v>
      </c>
      <c r="AX9" t="s">
        <v>122</v>
      </c>
      <c r="AY9" t="s">
        <v>189</v>
      </c>
      <c r="BJ9" t="s">
        <v>124</v>
      </c>
      <c r="BK9" t="s">
        <v>125</v>
      </c>
      <c r="BT9" t="s">
        <v>190</v>
      </c>
      <c r="BU9" t="s">
        <v>190</v>
      </c>
      <c r="BV9" t="s">
        <v>191</v>
      </c>
      <c r="BW9" t="s">
        <v>192</v>
      </c>
      <c r="BX9" t="s">
        <v>193</v>
      </c>
      <c r="BY9" t="s">
        <v>194</v>
      </c>
      <c r="CD9" t="s">
        <v>131</v>
      </c>
      <c r="CE9" t="s">
        <v>132</v>
      </c>
      <c r="CF9" t="s">
        <v>133</v>
      </c>
      <c r="CJ9" t="s">
        <v>134</v>
      </c>
      <c r="CK9" t="s">
        <v>135</v>
      </c>
      <c r="CL9" t="s">
        <v>136</v>
      </c>
      <c r="CM9" t="s">
        <v>137</v>
      </c>
      <c r="CN9" t="s">
        <v>195</v>
      </c>
      <c r="CO9" t="s">
        <v>139</v>
      </c>
      <c r="CR9" t="s">
        <v>140</v>
      </c>
      <c r="CW9" s="6">
        <f t="shared" si="2"/>
        <v>25054.400000000005</v>
      </c>
      <c r="CX9" s="6">
        <f t="shared" si="3"/>
        <v>18490147.200000003</v>
      </c>
      <c r="DB9" t="str">
        <f t="shared" si="4"/>
        <v>B9 L9</v>
      </c>
    </row>
    <row r="10" spans="1:106" s="173" customFormat="1" x14ac:dyDescent="0.35">
      <c r="A10" s="173" t="str">
        <f t="shared" si="1"/>
        <v>B4 L4</v>
      </c>
      <c r="B10" s="173" t="s">
        <v>100</v>
      </c>
      <c r="C10" s="173" t="s">
        <v>101</v>
      </c>
      <c r="D10" s="173" t="s">
        <v>102</v>
      </c>
      <c r="E10" s="173" t="s">
        <v>103</v>
      </c>
      <c r="F10" s="173" t="s">
        <v>196</v>
      </c>
      <c r="G10" s="173" t="s">
        <v>196</v>
      </c>
      <c r="H10" s="173" t="s">
        <v>197</v>
      </c>
      <c r="I10" s="173">
        <v>36</v>
      </c>
      <c r="J10" s="173" t="s">
        <v>198</v>
      </c>
      <c r="K10" s="173" t="s">
        <v>107</v>
      </c>
      <c r="L10" s="173" t="s">
        <v>108</v>
      </c>
      <c r="M10" s="173">
        <v>11</v>
      </c>
      <c r="N10" s="173" t="s">
        <v>109</v>
      </c>
      <c r="O10" s="173">
        <v>2</v>
      </c>
      <c r="P10" s="173" t="s">
        <v>110</v>
      </c>
      <c r="R10" s="173" t="s">
        <v>199</v>
      </c>
      <c r="S10" s="174">
        <v>461</v>
      </c>
      <c r="T10" s="173">
        <v>340</v>
      </c>
      <c r="U10" s="173">
        <f t="shared" si="0"/>
        <v>25524</v>
      </c>
      <c r="V10" s="173" t="s">
        <v>200</v>
      </c>
      <c r="W10" s="173" t="s">
        <v>114</v>
      </c>
      <c r="X10" s="173" t="s">
        <v>115</v>
      </c>
      <c r="AD10" s="176">
        <v>360000</v>
      </c>
      <c r="AE10" s="175">
        <v>11766564</v>
      </c>
      <c r="AF10" s="173" t="s">
        <v>116</v>
      </c>
      <c r="AM10" s="173" t="s">
        <v>117</v>
      </c>
      <c r="AN10" s="173" t="s">
        <v>109</v>
      </c>
      <c r="AO10" s="173" t="s">
        <v>118</v>
      </c>
      <c r="AP10" s="173" t="s">
        <v>119</v>
      </c>
      <c r="AQ10" s="173">
        <v>4</v>
      </c>
      <c r="AR10" s="173" t="s">
        <v>120</v>
      </c>
      <c r="AS10" s="173" t="s">
        <v>201</v>
      </c>
      <c r="AT10" s="173" t="s">
        <v>202</v>
      </c>
      <c r="AU10" s="173" t="s">
        <v>202</v>
      </c>
      <c r="AV10" s="176">
        <v>17343700</v>
      </c>
      <c r="AW10" s="173" t="s">
        <v>203</v>
      </c>
      <c r="AX10" s="173" t="s">
        <v>122</v>
      </c>
      <c r="AY10" s="173" t="s">
        <v>204</v>
      </c>
      <c r="BJ10" s="173" t="s">
        <v>205</v>
      </c>
      <c r="BK10" s="173" t="s">
        <v>206</v>
      </c>
      <c r="BQ10" s="173">
        <v>100</v>
      </c>
      <c r="BR10" s="173" t="s">
        <v>207</v>
      </c>
      <c r="BT10" s="173" t="s">
        <v>126</v>
      </c>
      <c r="BU10" s="173" t="s">
        <v>126</v>
      </c>
      <c r="BV10" s="173" t="s">
        <v>208</v>
      </c>
      <c r="BW10" s="173" t="s">
        <v>209</v>
      </c>
      <c r="BX10" s="173" t="s">
        <v>210</v>
      </c>
      <c r="BY10" s="173" t="s">
        <v>211</v>
      </c>
      <c r="CD10" s="173" t="s">
        <v>131</v>
      </c>
      <c r="CE10" s="173" t="s">
        <v>132</v>
      </c>
      <c r="CF10" s="173" t="s">
        <v>133</v>
      </c>
      <c r="CJ10" s="173" t="s">
        <v>212</v>
      </c>
      <c r="CK10" s="173" t="s">
        <v>213</v>
      </c>
      <c r="CL10" s="173" t="s">
        <v>136</v>
      </c>
      <c r="CM10" s="173" t="s">
        <v>137</v>
      </c>
      <c r="CN10" s="173" t="s">
        <v>214</v>
      </c>
      <c r="CO10" s="173" t="s">
        <v>139</v>
      </c>
      <c r="CR10" s="173" t="s">
        <v>140</v>
      </c>
      <c r="CW10" s="173">
        <f t="shared" si="2"/>
        <v>70723.417960954452</v>
      </c>
      <c r="CX10" s="173">
        <f t="shared" si="3"/>
        <v>32603495.680000003</v>
      </c>
      <c r="DB10" s="173" t="str">
        <f t="shared" si="4"/>
        <v>B4 L4</v>
      </c>
    </row>
    <row r="11" spans="1:106" s="231" customFormat="1" x14ac:dyDescent="0.35">
      <c r="A11" s="231" t="str">
        <f t="shared" si="1"/>
        <v>B15 L11</v>
      </c>
      <c r="B11" s="231" t="s">
        <v>100</v>
      </c>
      <c r="C11" s="231" t="s">
        <v>101</v>
      </c>
      <c r="D11" s="231" t="s">
        <v>102</v>
      </c>
      <c r="E11" s="231" t="s">
        <v>103</v>
      </c>
      <c r="F11" s="231" t="str">
        <f>G11</f>
        <v>B15</v>
      </c>
      <c r="G11" s="231" t="s">
        <v>159</v>
      </c>
      <c r="H11" s="231" t="s">
        <v>105</v>
      </c>
      <c r="S11" s="232">
        <v>638</v>
      </c>
      <c r="V11" s="231" t="s">
        <v>675</v>
      </c>
      <c r="AD11" s="233"/>
      <c r="AE11" s="234">
        <v>7635516.0200000005</v>
      </c>
      <c r="AV11" s="233"/>
      <c r="DB11" s="231" t="str">
        <f t="shared" si="4"/>
        <v>B15 L11</v>
      </c>
    </row>
    <row r="12" spans="1:106" s="231" customFormat="1" x14ac:dyDescent="0.35">
      <c r="A12" s="231" t="str">
        <f>DB12</f>
        <v>B15 L12</v>
      </c>
      <c r="B12" s="231" t="s">
        <v>100</v>
      </c>
      <c r="C12" s="231" t="s">
        <v>101</v>
      </c>
      <c r="D12" s="231" t="s">
        <v>102</v>
      </c>
      <c r="E12" s="231" t="s">
        <v>103</v>
      </c>
      <c r="F12" s="231" t="str">
        <f>G12</f>
        <v>B15</v>
      </c>
      <c r="G12" s="231" t="s">
        <v>159</v>
      </c>
      <c r="H12" s="231" t="s">
        <v>329</v>
      </c>
      <c r="S12" s="232">
        <v>715</v>
      </c>
      <c r="V12" s="231" t="s">
        <v>675</v>
      </c>
      <c r="AD12" s="233"/>
      <c r="AE12" s="234">
        <v>15734124</v>
      </c>
      <c r="AV12" s="233"/>
      <c r="DB12" s="231" t="str">
        <f>G12&amp;" "&amp;H12</f>
        <v>B15 L12</v>
      </c>
    </row>
    <row r="13" spans="1:106" s="231" customFormat="1" x14ac:dyDescent="0.35">
      <c r="A13" s="231" t="str">
        <f>DB13</f>
        <v>B15 L13</v>
      </c>
      <c r="B13" s="231" t="s">
        <v>100</v>
      </c>
      <c r="C13" s="231" t="s">
        <v>101</v>
      </c>
      <c r="D13" s="231" t="s">
        <v>102</v>
      </c>
      <c r="E13" s="231" t="s">
        <v>103</v>
      </c>
      <c r="F13" s="231" t="str">
        <f>G13</f>
        <v>B15</v>
      </c>
      <c r="G13" s="231" t="s">
        <v>159</v>
      </c>
      <c r="H13" s="231" t="s">
        <v>218</v>
      </c>
      <c r="S13" s="232">
        <v>614</v>
      </c>
      <c r="V13" s="231" t="s">
        <v>675</v>
      </c>
      <c r="AD13" s="233"/>
      <c r="AE13" s="234">
        <v>15136692.000000002</v>
      </c>
      <c r="AV13" s="233"/>
      <c r="DB13" s="231" t="str">
        <f>G13&amp;" "&amp;H13</f>
        <v>B15 L13</v>
      </c>
    </row>
    <row r="14" spans="1:106" s="231" customFormat="1" x14ac:dyDescent="0.35">
      <c r="A14" s="231" t="str">
        <f>DB14</f>
        <v>B15 L4</v>
      </c>
      <c r="B14" s="231" t="s">
        <v>100</v>
      </c>
      <c r="C14" s="231" t="s">
        <v>101</v>
      </c>
      <c r="D14" s="231" t="s">
        <v>102</v>
      </c>
      <c r="E14" s="231" t="s">
        <v>103</v>
      </c>
      <c r="F14" s="231" t="str">
        <f>G14</f>
        <v>B15</v>
      </c>
      <c r="G14" s="231" t="s">
        <v>159</v>
      </c>
      <c r="H14" s="231" t="s">
        <v>197</v>
      </c>
      <c r="S14" s="232">
        <v>854</v>
      </c>
      <c r="V14" s="231" t="s">
        <v>675</v>
      </c>
      <c r="AD14" s="233"/>
      <c r="AE14" s="234">
        <v>12930918</v>
      </c>
      <c r="AV14" s="233"/>
      <c r="DB14" s="231" t="str">
        <f>G14&amp;" "&amp;H14</f>
        <v>B15 L4</v>
      </c>
    </row>
    <row r="15" spans="1:106" s="231" customFormat="1" x14ac:dyDescent="0.35">
      <c r="A15" s="231" t="str">
        <f>DB15</f>
        <v>B15 L5</v>
      </c>
      <c r="B15" s="231" t="s">
        <v>100</v>
      </c>
      <c r="C15" s="231" t="s">
        <v>101</v>
      </c>
      <c r="D15" s="231" t="s">
        <v>102</v>
      </c>
      <c r="E15" s="231" t="s">
        <v>103</v>
      </c>
      <c r="F15" s="231" t="str">
        <f>G15</f>
        <v>B15</v>
      </c>
      <c r="G15" s="231" t="s">
        <v>159</v>
      </c>
      <c r="H15" s="231" t="s">
        <v>177</v>
      </c>
      <c r="S15" s="232">
        <v>665</v>
      </c>
      <c r="V15" s="231" t="s">
        <v>675</v>
      </c>
      <c r="AD15" s="233"/>
      <c r="AE15" s="234">
        <v>11655966</v>
      </c>
      <c r="AV15" s="233"/>
      <c r="DB15" s="231" t="str">
        <f>G15&amp;" "&amp;H15</f>
        <v>B15 L5</v>
      </c>
    </row>
    <row r="16" spans="1:106" s="231" customFormat="1" x14ac:dyDescent="0.35">
      <c r="S16" s="232"/>
      <c r="AD16" s="233"/>
      <c r="AE16" s="234"/>
      <c r="AV16" s="233"/>
    </row>
    <row r="18" spans="32:32" x14ac:dyDescent="0.35">
      <c r="AF18" s="4"/>
    </row>
  </sheetData>
  <autoFilter ref="A1:DH1"/>
  <conditionalFormatting sqref="AX2:AX9">
    <cfRule type="cellIs" dxfId="223" priority="1" stopIfTrue="1" operator="equal">
      <formula>"Available"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1" tint="0.249977111117893"/>
  </sheetPr>
  <dimension ref="A1:DC72"/>
  <sheetViews>
    <sheetView zoomScale="70" zoomScaleNormal="70" workbookViewId="0">
      <selection activeCell="J2" sqref="J2:J23"/>
    </sheetView>
  </sheetViews>
  <sheetFormatPr defaultColWidth="8.81640625" defaultRowHeight="13" x14ac:dyDescent="0.3"/>
  <cols>
    <col min="1" max="1" width="60.1796875" style="255" customWidth="1"/>
    <col min="2" max="2" width="14.26953125" style="255" hidden="1" customWidth="1"/>
    <col min="3" max="3" width="17.7265625" style="255" customWidth="1"/>
    <col min="4" max="4" width="39.1796875" style="255" customWidth="1"/>
    <col min="5" max="5" width="16.1796875" style="255" customWidth="1"/>
    <col min="6" max="6" width="17.81640625" style="255" customWidth="1"/>
    <col min="7" max="7" width="14.81640625" style="255" bestFit="1" customWidth="1"/>
    <col min="8" max="8" width="15.1796875" style="255" customWidth="1"/>
    <col min="9" max="9" width="16.7265625" style="255" hidden="1" customWidth="1"/>
    <col min="10" max="10" width="18.453125" style="255" customWidth="1"/>
    <col min="11" max="11" width="21.453125" style="255" hidden="1" customWidth="1"/>
    <col min="12" max="12" width="11.81640625" style="255" hidden="1" customWidth="1"/>
    <col min="13" max="13" width="6.453125" style="255" hidden="1" customWidth="1"/>
    <col min="14" max="14" width="6.81640625" style="255" hidden="1" customWidth="1"/>
    <col min="15" max="106" width="8.81640625" style="255" hidden="1" customWidth="1"/>
    <col min="107" max="107" width="59.1796875" style="255" bestFit="1" customWidth="1"/>
    <col min="108" max="16384" width="8.81640625" style="255"/>
  </cols>
  <sheetData>
    <row r="1" spans="1:107" x14ac:dyDescent="0.3">
      <c r="C1" s="255" t="s">
        <v>8</v>
      </c>
      <c r="D1" s="255" t="s">
        <v>10</v>
      </c>
      <c r="E1" s="255" t="s">
        <v>759</v>
      </c>
      <c r="F1" s="255" t="s">
        <v>7</v>
      </c>
      <c r="G1" s="255" t="s">
        <v>8</v>
      </c>
      <c r="H1" s="255" t="s">
        <v>739</v>
      </c>
      <c r="I1" s="255" t="s">
        <v>10</v>
      </c>
      <c r="J1" s="255" t="s">
        <v>740</v>
      </c>
      <c r="K1" s="255" t="s">
        <v>12</v>
      </c>
      <c r="L1" s="255" t="s">
        <v>13</v>
      </c>
      <c r="M1" s="255" t="s">
        <v>14</v>
      </c>
      <c r="N1" s="255" t="s">
        <v>15</v>
      </c>
      <c r="O1" s="255" t="s">
        <v>16</v>
      </c>
      <c r="P1" s="255" t="s">
        <v>17</v>
      </c>
      <c r="Q1" s="255" t="s">
        <v>18</v>
      </c>
      <c r="R1" s="255" t="s">
        <v>19</v>
      </c>
      <c r="S1" s="255" t="s">
        <v>20</v>
      </c>
      <c r="T1" s="266" t="s">
        <v>21</v>
      </c>
      <c r="U1" s="266"/>
      <c r="V1" s="266"/>
      <c r="W1" s="255" t="s">
        <v>22</v>
      </c>
      <c r="X1" s="255" t="s">
        <v>23</v>
      </c>
      <c r="Y1" s="255" t="s">
        <v>24</v>
      </c>
      <c r="Z1" s="255" t="s">
        <v>25</v>
      </c>
      <c r="AA1" s="255" t="s">
        <v>26</v>
      </c>
      <c r="AB1" s="255" t="s">
        <v>27</v>
      </c>
      <c r="AC1" s="255" t="s">
        <v>28</v>
      </c>
      <c r="AD1" s="255" t="s">
        <v>29</v>
      </c>
      <c r="AE1" s="255" t="s">
        <v>30</v>
      </c>
      <c r="AF1" s="256" t="s">
        <v>31</v>
      </c>
      <c r="AG1" s="255" t="s">
        <v>32</v>
      </c>
      <c r="AH1" s="255" t="s">
        <v>33</v>
      </c>
      <c r="AI1" s="255" t="s">
        <v>34</v>
      </c>
      <c r="AJ1" s="255" t="s">
        <v>35</v>
      </c>
      <c r="AK1" s="255" t="s">
        <v>36</v>
      </c>
      <c r="AL1" s="255" t="s">
        <v>37</v>
      </c>
      <c r="AM1" s="255" t="s">
        <v>38</v>
      </c>
      <c r="AN1" s="255" t="s">
        <v>39</v>
      </c>
      <c r="AO1" s="255" t="s">
        <v>40</v>
      </c>
      <c r="AP1" s="255" t="s">
        <v>41</v>
      </c>
      <c r="AQ1" s="255" t="s">
        <v>42</v>
      </c>
      <c r="AR1" s="255" t="s">
        <v>43</v>
      </c>
      <c r="AS1" s="255" t="s">
        <v>44</v>
      </c>
      <c r="AT1" s="255" t="s">
        <v>45</v>
      </c>
      <c r="AU1" s="255" t="s">
        <v>46</v>
      </c>
      <c r="AV1" s="255" t="s">
        <v>47</v>
      </c>
      <c r="AW1" s="256" t="s">
        <v>48</v>
      </c>
      <c r="AX1" s="255" t="s">
        <v>49</v>
      </c>
      <c r="AY1" s="255" t="s">
        <v>21</v>
      </c>
      <c r="AZ1" s="255" t="s">
        <v>50</v>
      </c>
      <c r="BA1" s="255" t="s">
        <v>51</v>
      </c>
      <c r="BB1" s="255" t="s">
        <v>52</v>
      </c>
      <c r="BC1" s="255" t="s">
        <v>53</v>
      </c>
      <c r="BD1" s="255" t="s">
        <v>54</v>
      </c>
      <c r="BE1" s="255" t="s">
        <v>55</v>
      </c>
      <c r="BF1" s="255" t="s">
        <v>56</v>
      </c>
      <c r="BG1" s="255" t="s">
        <v>57</v>
      </c>
      <c r="BH1" s="255" t="s">
        <v>58</v>
      </c>
      <c r="BI1" s="255" t="s">
        <v>59</v>
      </c>
      <c r="BJ1" s="255" t="s">
        <v>60</v>
      </c>
      <c r="BK1" s="255" t="s">
        <v>61</v>
      </c>
      <c r="BL1" s="255" t="s">
        <v>62</v>
      </c>
      <c r="BM1" s="255" t="s">
        <v>63</v>
      </c>
      <c r="BN1" s="255" t="s">
        <v>64</v>
      </c>
      <c r="BO1" s="255" t="s">
        <v>65</v>
      </c>
      <c r="BP1" s="255" t="s">
        <v>66</v>
      </c>
      <c r="BQ1" s="255" t="s">
        <v>67</v>
      </c>
      <c r="BR1" s="255" t="s">
        <v>68</v>
      </c>
      <c r="BS1" s="255" t="s">
        <v>69</v>
      </c>
      <c r="BT1" s="255" t="s">
        <v>70</v>
      </c>
      <c r="BU1" s="255" t="s">
        <v>71</v>
      </c>
      <c r="BV1" s="255" t="s">
        <v>72</v>
      </c>
      <c r="BW1" s="255" t="s">
        <v>73</v>
      </c>
      <c r="BX1" s="255" t="s">
        <v>74</v>
      </c>
      <c r="BY1" s="255" t="s">
        <v>75</v>
      </c>
      <c r="BZ1" s="255" t="s">
        <v>76</v>
      </c>
      <c r="CA1" s="255" t="s">
        <v>77</v>
      </c>
      <c r="CB1" s="255" t="s">
        <v>78</v>
      </c>
      <c r="CC1" s="255" t="s">
        <v>79</v>
      </c>
      <c r="CD1" s="255" t="s">
        <v>80</v>
      </c>
      <c r="CE1" s="255" t="s">
        <v>81</v>
      </c>
      <c r="CF1" s="255" t="s">
        <v>82</v>
      </c>
      <c r="CG1" s="255" t="s">
        <v>83</v>
      </c>
      <c r="CH1" s="255" t="s">
        <v>84</v>
      </c>
      <c r="CI1" s="255" t="s">
        <v>85</v>
      </c>
      <c r="CJ1" s="255" t="s">
        <v>86</v>
      </c>
      <c r="CK1" s="255" t="s">
        <v>87</v>
      </c>
      <c r="CL1" s="255" t="s">
        <v>88</v>
      </c>
      <c r="CM1" s="255" t="s">
        <v>89</v>
      </c>
      <c r="CN1" s="255" t="s">
        <v>90</v>
      </c>
      <c r="CO1" s="255" t="s">
        <v>91</v>
      </c>
      <c r="CP1" s="255" t="s">
        <v>92</v>
      </c>
      <c r="CQ1" s="255" t="s">
        <v>93</v>
      </c>
      <c r="CR1" s="255" t="s">
        <v>94</v>
      </c>
      <c r="CS1" s="255" t="s">
        <v>95</v>
      </c>
      <c r="CT1" s="255" t="s">
        <v>96</v>
      </c>
      <c r="CU1" s="255" t="s">
        <v>97</v>
      </c>
      <c r="CV1" s="255" t="s">
        <v>98</v>
      </c>
      <c r="CW1" s="255" t="s">
        <v>99</v>
      </c>
    </row>
    <row r="2" spans="1:107" s="271" customFormat="1" ht="12.5" x14ac:dyDescent="0.25">
      <c r="A2" s="260" t="str">
        <f>DC2</f>
        <v>Blk. 2 Unit no. 16, Inner Unit, Plan 1, Bldg. 2 Plan 1 RFO</v>
      </c>
      <c r="B2" s="261" t="s">
        <v>547</v>
      </c>
      <c r="C2" s="261" t="s">
        <v>548</v>
      </c>
      <c r="D2" s="261" t="s">
        <v>549</v>
      </c>
      <c r="E2" s="261" t="str">
        <f>"B"&amp;RIGHT(C2,1)&amp;"-"&amp;"L"&amp;(MID(D2,10,2))</f>
        <v>B2-L16</v>
      </c>
      <c r="F2" s="261" t="s">
        <v>552</v>
      </c>
      <c r="G2" s="261" t="s">
        <v>550</v>
      </c>
      <c r="H2" s="262">
        <v>134.87</v>
      </c>
      <c r="I2" s="263">
        <v>126</v>
      </c>
      <c r="J2" s="267">
        <f>VLOOKUP(E2,'[3]2-Lot Tagging'!$EB$14:$EC$115,2,FALSE)</f>
        <v>15920000</v>
      </c>
      <c r="K2" s="268">
        <v>10492300</v>
      </c>
      <c r="L2" s="263">
        <v>50000</v>
      </c>
      <c r="M2" s="269">
        <f>(J2*1.12)/I2</f>
        <v>141511.11111111112</v>
      </c>
      <c r="N2" s="270">
        <f>J2*1.12</f>
        <v>17830400</v>
      </c>
      <c r="P2" s="269"/>
      <c r="DC2" s="271" t="str">
        <f t="shared" ref="DC2:DC13" si="0">C2&amp;" "&amp;D2&amp;" "&amp;F2&amp;" "&amp;G2</f>
        <v>Blk. 2 Unit no. 16, Inner Unit, Plan 1, Bldg. 2 Plan 1 RFO</v>
      </c>
    </row>
    <row r="3" spans="1:107" s="271" customFormat="1" ht="12.5" x14ac:dyDescent="0.25">
      <c r="A3" s="260" t="str">
        <f t="shared" ref="A3:A65" si="1">DC3</f>
        <v>Blk. 3 Unit no. 18, End Unit, Plan 3A, Bldg. 2 Plan 3A RFO</v>
      </c>
      <c r="B3" s="261" t="s">
        <v>547</v>
      </c>
      <c r="C3" s="261" t="s">
        <v>554</v>
      </c>
      <c r="D3" s="261" t="s">
        <v>556</v>
      </c>
      <c r="E3" s="261" t="str">
        <f>"B"&amp;RIGHT(C3,1)&amp;"-"&amp;"L"&amp;(MID(D3,10,2))</f>
        <v>B3-L18</v>
      </c>
      <c r="F3" s="261" t="s">
        <v>551</v>
      </c>
      <c r="G3" s="261" t="s">
        <v>550</v>
      </c>
      <c r="H3" s="262">
        <v>209.82</v>
      </c>
      <c r="I3" s="263">
        <v>227</v>
      </c>
      <c r="J3" s="267">
        <f>VLOOKUP(E3,'[3]2-Lot Tagging'!$EB$14:$EC$115,2,FALSE)</f>
        <v>25920000</v>
      </c>
      <c r="K3" s="268">
        <v>17087300</v>
      </c>
      <c r="L3" s="263">
        <v>50000</v>
      </c>
      <c r="M3" s="269">
        <f t="shared" ref="M3:M12" si="2">(J3*1.12)/I3</f>
        <v>127887.22466960354</v>
      </c>
      <c r="N3" s="270">
        <f t="shared" ref="N3:N12" si="3">J3*1.12</f>
        <v>29030400.000000004</v>
      </c>
      <c r="P3" s="269"/>
      <c r="DC3" s="271" t="str">
        <f t="shared" si="0"/>
        <v>Blk. 3 Unit no. 18, End Unit, Plan 3A, Bldg. 2 Plan 3A RFO</v>
      </c>
    </row>
    <row r="4" spans="1:107" s="271" customFormat="1" ht="12.5" x14ac:dyDescent="0.25">
      <c r="A4" s="260" t="str">
        <f t="shared" si="1"/>
        <v>Blk. 1 Unit no. 3, Inner Unit, Plan 1, Bldg. 2 Plan 1 MODEL UNIT</v>
      </c>
      <c r="B4" s="260" t="s">
        <v>557</v>
      </c>
      <c r="C4" s="260" t="s">
        <v>558</v>
      </c>
      <c r="D4" s="260" t="s">
        <v>559</v>
      </c>
      <c r="E4" s="261" t="str">
        <f>"B"&amp;RIGHT(C4,1)&amp;"-"&amp;"L"&amp;(MID(D4,10,1))</f>
        <v>B1-L3</v>
      </c>
      <c r="F4" s="260" t="s">
        <v>552</v>
      </c>
      <c r="G4" s="260" t="s">
        <v>560</v>
      </c>
      <c r="H4" s="264">
        <v>134.87</v>
      </c>
      <c r="I4" s="265">
        <v>157</v>
      </c>
      <c r="J4" s="267">
        <f>VLOOKUP(E4,'[3]2-Lot Tagging'!$EB$14:$EC$115,2,FALSE)</f>
        <v>13390000</v>
      </c>
      <c r="K4" s="268">
        <v>8824500</v>
      </c>
      <c r="L4" s="265">
        <v>980000</v>
      </c>
      <c r="M4" s="269">
        <f>(J4*1.12)/I4</f>
        <v>95521.019108280263</v>
      </c>
      <c r="N4" s="270">
        <f t="shared" si="3"/>
        <v>14996800.000000002</v>
      </c>
      <c r="P4" s="269"/>
      <c r="DC4" s="271" t="str">
        <f t="shared" si="0"/>
        <v>Blk. 1 Unit no. 3, Inner Unit, Plan 1, Bldg. 2 Plan 1 MODEL UNIT</v>
      </c>
    </row>
    <row r="5" spans="1:107" s="271" customFormat="1" ht="12.5" x14ac:dyDescent="0.25">
      <c r="A5" s="260" t="str">
        <f t="shared" si="1"/>
        <v>Blk. 1 Unit no. 11, Inner Unit, Plan 1, Bldg. 2 Plan 1 RFO</v>
      </c>
      <c r="B5" s="260" t="s">
        <v>557</v>
      </c>
      <c r="C5" s="260" t="s">
        <v>558</v>
      </c>
      <c r="D5" s="260" t="s">
        <v>555</v>
      </c>
      <c r="E5" s="261" t="str">
        <f>"B"&amp;RIGHT(C5,1)&amp;"-"&amp;"L"&amp;(MID(D5,10,2))</f>
        <v>B1-L11</v>
      </c>
      <c r="F5" s="260" t="s">
        <v>552</v>
      </c>
      <c r="G5" s="260" t="s">
        <v>550</v>
      </c>
      <c r="H5" s="264">
        <v>134.87</v>
      </c>
      <c r="I5" s="265">
        <v>125</v>
      </c>
      <c r="J5" s="267">
        <f>VLOOKUP(E5,'[3]2-Lot Tagging'!$EB$14:$EC$115,2,FALSE)</f>
        <v>15920000</v>
      </c>
      <c r="K5" s="268">
        <v>10492300</v>
      </c>
      <c r="L5" s="265">
        <v>50000</v>
      </c>
      <c r="M5" s="269">
        <f t="shared" si="2"/>
        <v>142643.20000000001</v>
      </c>
      <c r="N5" s="270">
        <f t="shared" si="3"/>
        <v>17830400</v>
      </c>
      <c r="P5" s="269"/>
      <c r="DC5" s="271" t="str">
        <f t="shared" si="0"/>
        <v>Blk. 1 Unit no. 11, Inner Unit, Plan 1, Bldg. 2 Plan 1 RFO</v>
      </c>
    </row>
    <row r="6" spans="1:107" s="271" customFormat="1" ht="12.5" x14ac:dyDescent="0.25">
      <c r="A6" s="260" t="str">
        <f t="shared" si="1"/>
        <v>Blk. 2 Unit no. 19, End Unit, Plan 3A, Bldg. 2 Plan 3 RFO</v>
      </c>
      <c r="B6" s="260" t="s">
        <v>557</v>
      </c>
      <c r="C6" s="260" t="s">
        <v>548</v>
      </c>
      <c r="D6" s="260" t="s">
        <v>561</v>
      </c>
      <c r="E6" s="261" t="str">
        <f>"B"&amp;RIGHT(C6,1)&amp;"-"&amp;"L"&amp;(MID(D6,10,2))</f>
        <v>B2-L19</v>
      </c>
      <c r="F6" s="260" t="s">
        <v>553</v>
      </c>
      <c r="G6" s="260" t="s">
        <v>550</v>
      </c>
      <c r="H6" s="264">
        <v>209.82</v>
      </c>
      <c r="I6" s="265">
        <v>212</v>
      </c>
      <c r="J6" s="267">
        <f>VLOOKUP(E6,'[3]2-Lot Tagging'!$EB$14:$EC$115,2,FALSE)</f>
        <v>23600000</v>
      </c>
      <c r="K6" s="268">
        <v>15561200</v>
      </c>
      <c r="L6" s="265">
        <v>50000</v>
      </c>
      <c r="M6" s="269">
        <f t="shared" si="2"/>
        <v>124679.24528301888</v>
      </c>
      <c r="N6" s="270">
        <f t="shared" si="3"/>
        <v>26432000.000000004</v>
      </c>
      <c r="P6" s="269"/>
      <c r="DC6" s="271" t="str">
        <f t="shared" si="0"/>
        <v>Blk. 2 Unit no. 19, End Unit, Plan 3A, Bldg. 2 Plan 3 RFO</v>
      </c>
    </row>
    <row r="7" spans="1:107" s="271" customFormat="1" ht="12.5" x14ac:dyDescent="0.25">
      <c r="A7" s="260" t="str">
        <f t="shared" si="1"/>
        <v>Blk. 2 Unit no. 21, Inner Unit, Plan 1, Bldg. 2 Plan 1 MODEL UNIT</v>
      </c>
      <c r="B7" s="260" t="s">
        <v>557</v>
      </c>
      <c r="C7" s="260" t="s">
        <v>548</v>
      </c>
      <c r="D7" s="260" t="s">
        <v>562</v>
      </c>
      <c r="E7" s="261" t="str">
        <f>"B"&amp;RIGHT(C7,1)&amp;"-"&amp;"L"&amp;(MID(D7,10,2))</f>
        <v>B2-L21</v>
      </c>
      <c r="F7" s="260" t="s">
        <v>552</v>
      </c>
      <c r="G7" s="260" t="s">
        <v>560</v>
      </c>
      <c r="H7" s="264">
        <v>134.87</v>
      </c>
      <c r="I7" s="265">
        <v>126</v>
      </c>
      <c r="J7" s="267">
        <f>VLOOKUP(E7,'[3]2-Lot Tagging'!$EB$14:$EC$115,2,FALSE)</f>
        <v>14430000</v>
      </c>
      <c r="K7" s="268">
        <v>9511300</v>
      </c>
      <c r="L7" s="265">
        <v>322863.18</v>
      </c>
      <c r="M7" s="269">
        <f t="shared" si="2"/>
        <v>128266.66666666669</v>
      </c>
      <c r="N7" s="270">
        <f t="shared" si="3"/>
        <v>16161600.000000002</v>
      </c>
      <c r="P7" s="269"/>
      <c r="DC7" s="271" t="str">
        <f t="shared" si="0"/>
        <v>Blk. 2 Unit no. 21, Inner Unit, Plan 1, Bldg. 2 Plan 1 MODEL UNIT</v>
      </c>
    </row>
    <row r="8" spans="1:107" s="271" customFormat="1" ht="12.5" x14ac:dyDescent="0.25">
      <c r="A8" s="260" t="str">
        <f t="shared" si="1"/>
        <v>Blk. 2 Unit no. 23, End Unit, Plan 3, Bldg. 2 Plan 3 MODEL UNIT</v>
      </c>
      <c r="B8" s="260" t="s">
        <v>557</v>
      </c>
      <c r="C8" s="260" t="s">
        <v>548</v>
      </c>
      <c r="D8" s="260" t="s">
        <v>563</v>
      </c>
      <c r="E8" s="261" t="str">
        <f>"B"&amp;RIGHT(C8,1)&amp;"-"&amp;"L"&amp;(MID(D8,10,2))</f>
        <v>B2-L23</v>
      </c>
      <c r="F8" s="260" t="s">
        <v>553</v>
      </c>
      <c r="G8" s="260" t="s">
        <v>560</v>
      </c>
      <c r="H8" s="264">
        <v>209.82</v>
      </c>
      <c r="I8" s="265">
        <v>199</v>
      </c>
      <c r="J8" s="267">
        <f>VLOOKUP(E8,'[3]2-Lot Tagging'!$EB$14:$EC$115,2,FALSE)</f>
        <v>25920000</v>
      </c>
      <c r="K8" s="268">
        <v>17087300</v>
      </c>
      <c r="L8" s="265">
        <v>4298100</v>
      </c>
      <c r="M8" s="269">
        <f t="shared" si="2"/>
        <v>145881.40703517589</v>
      </c>
      <c r="N8" s="270">
        <f t="shared" si="3"/>
        <v>29030400.000000004</v>
      </c>
      <c r="P8" s="269"/>
      <c r="DC8" s="271" t="str">
        <f t="shared" si="0"/>
        <v>Blk. 2 Unit no. 23, End Unit, Plan 3, Bldg. 2 Plan 3 MODEL UNIT</v>
      </c>
    </row>
    <row r="9" spans="1:107" s="271" customFormat="1" ht="12.5" x14ac:dyDescent="0.25">
      <c r="A9" s="260" t="str">
        <f t="shared" si="1"/>
        <v>Blk. 1B Unit no. 16, End Unit, Plan 7, Duplex 2 Plan 7 RFO</v>
      </c>
      <c r="B9" s="260" t="s">
        <v>557</v>
      </c>
      <c r="C9" s="260" t="s">
        <v>564</v>
      </c>
      <c r="D9" s="260" t="s">
        <v>565</v>
      </c>
      <c r="E9" s="261" t="str">
        <f>"B"&amp;RIGHT(C9,2)&amp;"-"&amp;"L"&amp;(MID(D9,10,2))</f>
        <v>B1B-L16</v>
      </c>
      <c r="F9" s="260" t="s">
        <v>568</v>
      </c>
      <c r="G9" s="260" t="s">
        <v>550</v>
      </c>
      <c r="H9" s="264">
        <v>212.12</v>
      </c>
      <c r="I9" s="265">
        <v>259</v>
      </c>
      <c r="J9" s="267">
        <f>VLOOKUP(E9,'[3]2-Lot Tagging'!$EB$14:$EC$115,2,FALSE)</f>
        <v>25030000</v>
      </c>
      <c r="K9" s="268">
        <v>16504400</v>
      </c>
      <c r="L9" s="265">
        <v>50000</v>
      </c>
      <c r="M9" s="269">
        <f t="shared" si="2"/>
        <v>108237.83783783785</v>
      </c>
      <c r="N9" s="270">
        <f t="shared" si="3"/>
        <v>28033600.000000004</v>
      </c>
      <c r="P9" s="269"/>
      <c r="DC9" s="271" t="str">
        <f t="shared" si="0"/>
        <v>Blk. 1B Unit no. 16, End Unit, Plan 7, Duplex 2 Plan 7 RFO</v>
      </c>
    </row>
    <row r="10" spans="1:107" s="271" customFormat="1" ht="12.5" x14ac:dyDescent="0.25">
      <c r="A10" s="260" t="str">
        <f t="shared" si="1"/>
        <v>Blk. 1B Unit no. 18, End Unit, Plan 5, Duplex 1 Plan 5 MODEL UNIT</v>
      </c>
      <c r="B10" s="260" t="s">
        <v>547</v>
      </c>
      <c r="C10" s="260" t="s">
        <v>564</v>
      </c>
      <c r="D10" s="260" t="s">
        <v>566</v>
      </c>
      <c r="E10" s="261" t="str">
        <f>"B"&amp;RIGHT(C10,2)&amp;"-"&amp;"L"&amp;(MID(D10,10,2))</f>
        <v>B1B-L18</v>
      </c>
      <c r="F10" s="260" t="s">
        <v>571</v>
      </c>
      <c r="G10" s="260" t="s">
        <v>560</v>
      </c>
      <c r="H10" s="264">
        <v>214.84</v>
      </c>
      <c r="I10" s="265">
        <v>204</v>
      </c>
      <c r="J10" s="267">
        <f>VLOOKUP(E10,'[3]2-Lot Tagging'!$EB$14:$EC$115,2,FALSE)</f>
        <v>25350000</v>
      </c>
      <c r="K10" s="268">
        <v>16716100</v>
      </c>
      <c r="L10" s="265">
        <v>3793200</v>
      </c>
      <c r="M10" s="269">
        <f t="shared" si="2"/>
        <v>139176.4705882353</v>
      </c>
      <c r="N10" s="270">
        <f t="shared" si="3"/>
        <v>28392000.000000004</v>
      </c>
      <c r="P10" s="269"/>
      <c r="DC10" s="271" t="str">
        <f t="shared" si="0"/>
        <v>Blk. 1B Unit no. 18, End Unit, Plan 5, Duplex 1 Plan 5 MODEL UNIT</v>
      </c>
    </row>
    <row r="11" spans="1:107" s="271" customFormat="1" ht="12.5" x14ac:dyDescent="0.25">
      <c r="A11" s="260" t="str">
        <f t="shared" si="1"/>
        <v>Blk. 1B Unit no. 19, End Unit, Plan 4, Duplex 1 Plan 4 MODEL UNIT</v>
      </c>
      <c r="B11" s="260" t="s">
        <v>547</v>
      </c>
      <c r="C11" s="260" t="s">
        <v>564</v>
      </c>
      <c r="D11" s="260" t="s">
        <v>567</v>
      </c>
      <c r="E11" s="261" t="str">
        <f>"B"&amp;RIGHT(C11,2)&amp;"-"&amp;"L"&amp;(MID(D11,10,2))</f>
        <v>B1B-L19</v>
      </c>
      <c r="F11" s="260" t="s">
        <v>570</v>
      </c>
      <c r="G11" s="260" t="s">
        <v>560</v>
      </c>
      <c r="H11" s="264">
        <v>195.08</v>
      </c>
      <c r="I11" s="265">
        <v>204</v>
      </c>
      <c r="J11" s="267">
        <f>VLOOKUP(E11,'[3]2-Lot Tagging'!$EB$14:$EC$115,2,FALSE)</f>
        <v>23020000</v>
      </c>
      <c r="K11" s="268">
        <v>15178600</v>
      </c>
      <c r="L11" s="265">
        <v>3450000</v>
      </c>
      <c r="M11" s="269">
        <f t="shared" si="2"/>
        <v>126384.31372549021</v>
      </c>
      <c r="N11" s="270">
        <f t="shared" si="3"/>
        <v>25782400.000000004</v>
      </c>
      <c r="P11" s="269"/>
      <c r="DC11" s="271" t="str">
        <f t="shared" si="0"/>
        <v>Blk. 1B Unit no. 19, End Unit, Plan 4, Duplex 1 Plan 4 MODEL UNIT</v>
      </c>
    </row>
    <row r="12" spans="1:107" s="271" customFormat="1" ht="12.5" x14ac:dyDescent="0.25">
      <c r="A12" s="260" t="str">
        <f t="shared" si="1"/>
        <v>Blk. 3A Unit no. 27, End Unit, Plan 5, Duplex 1 Plan 5 RFO</v>
      </c>
      <c r="B12" s="260" t="s">
        <v>547</v>
      </c>
      <c r="C12" s="260" t="s">
        <v>569</v>
      </c>
      <c r="D12" s="260" t="s">
        <v>572</v>
      </c>
      <c r="E12" s="261" t="str">
        <f>"B"&amp;RIGHT(C12,2)&amp;"-"&amp;"L"&amp;(MID(D12,10,2))</f>
        <v>B3A-L27</v>
      </c>
      <c r="F12" s="260" t="s">
        <v>571</v>
      </c>
      <c r="G12" s="260" t="s">
        <v>550</v>
      </c>
      <c r="H12" s="264">
        <v>214.84</v>
      </c>
      <c r="I12" s="265">
        <v>210</v>
      </c>
      <c r="J12" s="267">
        <f>VLOOKUP(E12,'[3]2-Lot Tagging'!$EB$14:$EC$115,2,FALSE)</f>
        <v>24170000</v>
      </c>
      <c r="K12" s="268">
        <v>15933500</v>
      </c>
      <c r="L12" s="265">
        <v>50000</v>
      </c>
      <c r="M12" s="269">
        <f t="shared" si="2"/>
        <v>128906.66666666669</v>
      </c>
      <c r="N12" s="270">
        <f t="shared" si="3"/>
        <v>27070400.000000004</v>
      </c>
      <c r="P12" s="269"/>
      <c r="DC12" s="271" t="str">
        <f t="shared" si="0"/>
        <v>Blk. 3A Unit no. 27, End Unit, Plan 5, Duplex 1 Plan 5 RFO</v>
      </c>
    </row>
    <row r="13" spans="1:107" x14ac:dyDescent="0.3">
      <c r="A13" s="258" t="e">
        <f t="shared" si="1"/>
        <v>#REF!</v>
      </c>
      <c r="C13" s="255" t="e">
        <f>#REF!</f>
        <v>#REF!</v>
      </c>
      <c r="D13" s="255" t="e">
        <f>#REF!</f>
        <v>#REF!</v>
      </c>
      <c r="E13" s="259" t="e">
        <f t="shared" ref="E13:E28" si="4">"B"&amp;RIGHT(C13,1)&amp;"-"&amp;"L"&amp;(MID(D13,10,2))</f>
        <v>#REF!</v>
      </c>
      <c r="F13" s="255" t="e">
        <f>MID(D13,24,6)</f>
        <v>#REF!</v>
      </c>
      <c r="H13" s="255" t="e">
        <f>#REF!</f>
        <v>#REF!</v>
      </c>
      <c r="J13" s="267" t="e">
        <f>VLOOKUP(E13,'[3]2-Lot Tagging'!$EB$14:$EC$115,2,FALSE)</f>
        <v>#REF!</v>
      </c>
      <c r="DC13" s="272" t="e">
        <f t="shared" si="0"/>
        <v>#REF!</v>
      </c>
    </row>
    <row r="14" spans="1:107" x14ac:dyDescent="0.3">
      <c r="A14" s="258" t="str">
        <f t="shared" si="1"/>
        <v xml:space="preserve">B2 Unit no. 20, End Unit, Plan 3A, Bldg.2 Plan 3 </v>
      </c>
      <c r="C14" s="257" t="s">
        <v>217</v>
      </c>
      <c r="D14" s="257" t="s">
        <v>713</v>
      </c>
      <c r="E14" s="259" t="str">
        <f t="shared" si="4"/>
        <v>B2-L20</v>
      </c>
      <c r="F14" s="255" t="str">
        <f t="shared" ref="F14:F66" si="5">MID(D14,24,6)</f>
        <v>Plan 3</v>
      </c>
      <c r="H14" s="257">
        <v>209.82</v>
      </c>
      <c r="J14" s="267">
        <f>VLOOKUP(E14,'[3]2-Lot Tagging'!$EB$14:$EC$115,2,FALSE)</f>
        <v>25920000</v>
      </c>
      <c r="DC14" s="272" t="str">
        <f t="shared" ref="DC14:DC72" si="6">C14&amp;" "&amp;D14&amp;" "&amp;F14&amp;" "&amp;G14</f>
        <v xml:space="preserve">B2 Unit no. 20, End Unit, Plan 3A, Bldg.2 Plan 3 </v>
      </c>
    </row>
    <row r="15" spans="1:107" x14ac:dyDescent="0.3">
      <c r="A15" s="258" t="str">
        <f t="shared" si="1"/>
        <v xml:space="preserve">B2 Unit no. 22, Inner Unit, Plan 1, Bldg.2 Plan 1 </v>
      </c>
      <c r="C15" s="257" t="s">
        <v>217</v>
      </c>
      <c r="D15" s="257" t="s">
        <v>714</v>
      </c>
      <c r="E15" s="259" t="str">
        <f t="shared" si="4"/>
        <v>B2-L22</v>
      </c>
      <c r="F15" s="255" t="str">
        <f>MID(D15,26,6)</f>
        <v>Plan 1</v>
      </c>
      <c r="H15" s="257">
        <v>134.87</v>
      </c>
      <c r="J15" s="267">
        <f>VLOOKUP(E15,'[3]2-Lot Tagging'!$EB$14:$EC$115,2,FALSE)</f>
        <v>15920000</v>
      </c>
      <c r="DC15" s="272" t="str">
        <f t="shared" si="6"/>
        <v xml:space="preserve">B2 Unit no. 22, Inner Unit, Plan 1, Bldg.2 Plan 1 </v>
      </c>
    </row>
    <row r="16" spans="1:107" x14ac:dyDescent="0.3">
      <c r="A16" s="258" t="str">
        <f t="shared" si="1"/>
        <v xml:space="preserve">B2 Unit no. 24, End Unit, Plan 3, Bldg.2 Plan 3 </v>
      </c>
      <c r="C16" s="257" t="s">
        <v>217</v>
      </c>
      <c r="D16" s="257" t="s">
        <v>715</v>
      </c>
      <c r="E16" s="259" t="str">
        <f t="shared" si="4"/>
        <v>B2-L24</v>
      </c>
      <c r="F16" s="255" t="str">
        <f t="shared" si="5"/>
        <v>Plan 3</v>
      </c>
      <c r="H16" s="257">
        <v>209.82</v>
      </c>
      <c r="J16" s="267">
        <f>VLOOKUP(E16,'[3]2-Lot Tagging'!$EB$14:$EC$115,2,FALSE)</f>
        <v>28230000</v>
      </c>
      <c r="DC16" s="272" t="str">
        <f t="shared" si="6"/>
        <v xml:space="preserve">B2 Unit no. 24, End Unit, Plan 3, Bldg.2 Plan 3 </v>
      </c>
    </row>
    <row r="17" spans="1:107" x14ac:dyDescent="0.3">
      <c r="A17" s="258" t="str">
        <f t="shared" si="1"/>
        <v xml:space="preserve">B2 Unit no. 25, End Unit, Plan 3, Bldg. 2 Plan 3 </v>
      </c>
      <c r="C17" s="257" t="s">
        <v>217</v>
      </c>
      <c r="D17" s="257" t="s">
        <v>716</v>
      </c>
      <c r="E17" s="259" t="str">
        <f t="shared" si="4"/>
        <v>B2-L25</v>
      </c>
      <c r="F17" s="255" t="str">
        <f t="shared" si="5"/>
        <v>Plan 3</v>
      </c>
      <c r="H17" s="257">
        <v>209.82</v>
      </c>
      <c r="J17" s="267">
        <f>VLOOKUP(E17,'[3]2-Lot Tagging'!$EB$14:$EC$115,2,FALSE)</f>
        <v>25920000</v>
      </c>
      <c r="DC17" s="272" t="str">
        <f t="shared" si="6"/>
        <v xml:space="preserve">B2 Unit no. 25, End Unit, Plan 3, Bldg. 2 Plan 3 </v>
      </c>
    </row>
    <row r="18" spans="1:107" x14ac:dyDescent="0.3">
      <c r="A18" s="258" t="str">
        <f t="shared" si="1"/>
        <v xml:space="preserve">B2 Unit no. 26, End Unit, Plan 3, Bldg. 2 Plan 3 </v>
      </c>
      <c r="C18" s="257" t="s">
        <v>217</v>
      </c>
      <c r="D18" s="257" t="s">
        <v>717</v>
      </c>
      <c r="E18" s="259" t="str">
        <f t="shared" si="4"/>
        <v>B2-L26</v>
      </c>
      <c r="F18" s="255" t="str">
        <f t="shared" si="5"/>
        <v>Plan 3</v>
      </c>
      <c r="H18" s="257">
        <v>209.82</v>
      </c>
      <c r="J18" s="267">
        <f>VLOOKUP(E18,'[3]2-Lot Tagging'!$EB$14:$EC$115,2,FALSE)</f>
        <v>27770000</v>
      </c>
      <c r="DC18" s="272" t="str">
        <f t="shared" si="6"/>
        <v xml:space="preserve">B2 Unit no. 26, End Unit, Plan 3, Bldg. 2 Plan 3 </v>
      </c>
    </row>
    <row r="19" spans="1:107" x14ac:dyDescent="0.3">
      <c r="A19" s="258" t="str">
        <f t="shared" si="1"/>
        <v xml:space="preserve">B2 Unit no. 27, Inner Unit, Plan 1, Bldg. 2 Plan 1 </v>
      </c>
      <c r="C19" s="257" t="s">
        <v>217</v>
      </c>
      <c r="D19" s="257" t="s">
        <v>718</v>
      </c>
      <c r="E19" s="259" t="str">
        <f t="shared" si="4"/>
        <v>B2-L27</v>
      </c>
      <c r="F19" s="255" t="str">
        <f>MID(D19,26,6)</f>
        <v>Plan 1</v>
      </c>
      <c r="H19" s="257">
        <v>134.87</v>
      </c>
      <c r="J19" s="267">
        <f>VLOOKUP(E19,'[3]2-Lot Tagging'!$EB$14:$EC$115,2,FALSE)</f>
        <v>14430000</v>
      </c>
      <c r="DC19" s="272" t="str">
        <f t="shared" si="6"/>
        <v xml:space="preserve">B2 Unit no. 27, Inner Unit, Plan 1, Bldg. 2 Plan 1 </v>
      </c>
    </row>
    <row r="20" spans="1:107" x14ac:dyDescent="0.3">
      <c r="A20" s="258" t="str">
        <f t="shared" si="1"/>
        <v xml:space="preserve">B2 Unit no. 28, Inner Unit, Plan 1, Bldg. 2 Plan 1 </v>
      </c>
      <c r="C20" s="257" t="s">
        <v>217</v>
      </c>
      <c r="D20" s="257" t="s">
        <v>719</v>
      </c>
      <c r="E20" s="259" t="str">
        <f t="shared" si="4"/>
        <v>B2-L28</v>
      </c>
      <c r="F20" s="255" t="str">
        <f>MID(D20,26,6)</f>
        <v>Plan 1</v>
      </c>
      <c r="H20" s="257">
        <v>134.87</v>
      </c>
      <c r="J20" s="267">
        <f>VLOOKUP(E20,'[3]2-Lot Tagging'!$EB$14:$EC$115,2,FALSE)</f>
        <v>15920000</v>
      </c>
      <c r="DC20" s="272" t="str">
        <f t="shared" si="6"/>
        <v xml:space="preserve">B2 Unit no. 28, Inner Unit, Plan 1, Bldg. 2 Plan 1 </v>
      </c>
    </row>
    <row r="21" spans="1:107" x14ac:dyDescent="0.3">
      <c r="A21" s="258" t="str">
        <f t="shared" si="1"/>
        <v xml:space="preserve">B2 Unit no. 29, End Unit, Plan 3A, Bldg. 2 Plan 3 </v>
      </c>
      <c r="C21" s="257" t="s">
        <v>217</v>
      </c>
      <c r="D21" s="257" t="s">
        <v>720</v>
      </c>
      <c r="E21" s="259" t="str">
        <f t="shared" si="4"/>
        <v>B2-L29</v>
      </c>
      <c r="F21" s="255" t="str">
        <f t="shared" si="5"/>
        <v>Plan 3</v>
      </c>
      <c r="H21" s="257">
        <v>209.82</v>
      </c>
      <c r="J21" s="267">
        <f>VLOOKUP(E21,'[3]2-Lot Tagging'!$EB$14:$EC$115,2,FALSE)</f>
        <v>23600000</v>
      </c>
      <c r="DC21" s="272" t="str">
        <f t="shared" si="6"/>
        <v xml:space="preserve">B2 Unit no. 29, End Unit, Plan 3A, Bldg. 2 Plan 3 </v>
      </c>
    </row>
    <row r="22" spans="1:107" x14ac:dyDescent="0.3">
      <c r="A22" s="258" t="str">
        <f t="shared" si="1"/>
        <v xml:space="preserve">B2 Unit no. 30, End Unit, Plan 3A, Bldg. 2 Plan 3 </v>
      </c>
      <c r="C22" s="257" t="s">
        <v>217</v>
      </c>
      <c r="D22" s="257" t="s">
        <v>721</v>
      </c>
      <c r="E22" s="259" t="str">
        <f t="shared" si="4"/>
        <v>B2-L30</v>
      </c>
      <c r="F22" s="255" t="str">
        <f t="shared" si="5"/>
        <v>Plan 3</v>
      </c>
      <c r="H22" s="257">
        <v>209.82</v>
      </c>
      <c r="J22" s="267">
        <f>VLOOKUP(E22,'[3]2-Lot Tagging'!$EB$14:$EC$115,2,FALSE)</f>
        <v>25920000</v>
      </c>
      <c r="DC22" s="272" t="str">
        <f t="shared" si="6"/>
        <v xml:space="preserve">B2 Unit no. 30, End Unit, Plan 3A, Bldg. 2 Plan 3 </v>
      </c>
    </row>
    <row r="23" spans="1:107" x14ac:dyDescent="0.3">
      <c r="A23" s="258" t="str">
        <f t="shared" si="1"/>
        <v xml:space="preserve">B2 Unit no. 31, End Unit, Plan 3A, Bldg. 2 Plan 3 </v>
      </c>
      <c r="C23" s="257" t="s">
        <v>217</v>
      </c>
      <c r="D23" s="257" t="s">
        <v>722</v>
      </c>
      <c r="E23" s="259" t="str">
        <f t="shared" si="4"/>
        <v>B2-L31</v>
      </c>
      <c r="F23" s="255" t="str">
        <f t="shared" si="5"/>
        <v>Plan 3</v>
      </c>
      <c r="H23" s="257">
        <v>209.82</v>
      </c>
      <c r="J23" s="267">
        <f>VLOOKUP(E23,'[3]2-Lot Tagging'!$EB$14:$EC$115,2,FALSE)</f>
        <v>23600000</v>
      </c>
      <c r="DC23" s="272" t="str">
        <f t="shared" si="6"/>
        <v xml:space="preserve">B2 Unit no. 31, End Unit, Plan 3A, Bldg. 2 Plan 3 </v>
      </c>
    </row>
    <row r="24" spans="1:107" x14ac:dyDescent="0.3">
      <c r="A24" s="258" t="str">
        <f t="shared" si="1"/>
        <v xml:space="preserve">B2 Unit no. 32, End Unit, Plan 3A, Bldg. 2 Plan 3 </v>
      </c>
      <c r="C24" s="257" t="s">
        <v>217</v>
      </c>
      <c r="D24" s="257" t="s">
        <v>723</v>
      </c>
      <c r="E24" s="259" t="str">
        <f t="shared" si="4"/>
        <v>B2-L32</v>
      </c>
      <c r="F24" s="255" t="str">
        <f t="shared" si="5"/>
        <v>Plan 3</v>
      </c>
      <c r="H24" s="257">
        <v>209.82</v>
      </c>
      <c r="J24" s="267">
        <f>VLOOKUP(E24,'[3]2-Lot Tagging'!$EB$14:$EC$115,2,FALSE)</f>
        <v>25920000</v>
      </c>
      <c r="DC24" s="272" t="str">
        <f t="shared" si="6"/>
        <v xml:space="preserve">B2 Unit no. 32, End Unit, Plan 3A, Bldg. 2 Plan 3 </v>
      </c>
    </row>
    <row r="25" spans="1:107" x14ac:dyDescent="0.3">
      <c r="A25" s="258" t="str">
        <f t="shared" si="1"/>
        <v xml:space="preserve">B2 Unit no. 33, Inner Unit, Plan 1, Bldg. 2 Plan 1 </v>
      </c>
      <c r="C25" s="257" t="s">
        <v>217</v>
      </c>
      <c r="D25" s="257" t="s">
        <v>724</v>
      </c>
      <c r="E25" s="259" t="str">
        <f t="shared" si="4"/>
        <v>B2-L33</v>
      </c>
      <c r="F25" s="255" t="str">
        <f>MID(D25,26,6)</f>
        <v>Plan 1</v>
      </c>
      <c r="H25" s="257">
        <v>134.87</v>
      </c>
      <c r="J25" s="267">
        <f>VLOOKUP(E25,'[3]2-Lot Tagging'!$EB$14:$EC$115,2,FALSE)</f>
        <v>14430000</v>
      </c>
      <c r="DC25" s="272" t="str">
        <f t="shared" si="6"/>
        <v xml:space="preserve">B2 Unit no. 33, Inner Unit, Plan 1, Bldg. 2 Plan 1 </v>
      </c>
    </row>
    <row r="26" spans="1:107" x14ac:dyDescent="0.3">
      <c r="A26" s="258" t="str">
        <f t="shared" si="1"/>
        <v xml:space="preserve">B2 Unit no. 34, Inner Unit, Plan 1, Bldg. 2 Plan 1 </v>
      </c>
      <c r="C26" s="257" t="s">
        <v>217</v>
      </c>
      <c r="D26" s="257" t="s">
        <v>725</v>
      </c>
      <c r="E26" s="259" t="str">
        <f t="shared" si="4"/>
        <v>B2-L34</v>
      </c>
      <c r="F26" s="255" t="str">
        <f>MID(D26,26,6)</f>
        <v>Plan 1</v>
      </c>
      <c r="H26" s="257">
        <v>134.87</v>
      </c>
      <c r="J26" s="267">
        <f>VLOOKUP(E26,'[3]2-Lot Tagging'!$EB$14:$EC$115,2,FALSE)</f>
        <v>15920000</v>
      </c>
      <c r="DC26" s="272" t="str">
        <f t="shared" si="6"/>
        <v xml:space="preserve">B2 Unit no. 34, Inner Unit, Plan 1, Bldg. 2 Plan 1 </v>
      </c>
    </row>
    <row r="27" spans="1:107" x14ac:dyDescent="0.3">
      <c r="A27" s="258" t="str">
        <f t="shared" si="1"/>
        <v xml:space="preserve">B2 Unit no. 35, End Unit, Plan 3, Bldg. 2 Plan 3 </v>
      </c>
      <c r="C27" s="257" t="s">
        <v>217</v>
      </c>
      <c r="D27" s="257" t="s">
        <v>726</v>
      </c>
      <c r="E27" s="259" t="str">
        <f t="shared" si="4"/>
        <v>B2-L35</v>
      </c>
      <c r="F27" s="255" t="str">
        <f t="shared" si="5"/>
        <v>Plan 3</v>
      </c>
      <c r="H27" s="257">
        <v>209.82</v>
      </c>
      <c r="J27" s="267">
        <f>VLOOKUP(E27,'[3]2-Lot Tagging'!$EB$14:$EC$115,2,FALSE)</f>
        <v>25920000</v>
      </c>
      <c r="DC27" s="272" t="str">
        <f t="shared" si="6"/>
        <v xml:space="preserve">B2 Unit no. 35, End Unit, Plan 3, Bldg. 2 Plan 3 </v>
      </c>
    </row>
    <row r="28" spans="1:107" x14ac:dyDescent="0.3">
      <c r="A28" s="258" t="str">
        <f t="shared" si="1"/>
        <v xml:space="preserve">B2 Unit no. 36, End Unit, Plan 3, Bldg. 2 Plan 3 </v>
      </c>
      <c r="C28" s="257" t="s">
        <v>217</v>
      </c>
      <c r="D28" s="257" t="s">
        <v>727</v>
      </c>
      <c r="E28" s="259" t="str">
        <f t="shared" si="4"/>
        <v>B2-L36</v>
      </c>
      <c r="F28" s="255" t="str">
        <f t="shared" si="5"/>
        <v>Plan 3</v>
      </c>
      <c r="H28" s="257">
        <v>209.82</v>
      </c>
      <c r="J28" s="267">
        <f>VLOOKUP(E28,'[3]2-Lot Tagging'!$EB$14:$EC$115,2,FALSE)</f>
        <v>28230000</v>
      </c>
      <c r="DC28" s="272" t="str">
        <f t="shared" si="6"/>
        <v xml:space="preserve">B2 Unit no. 36, End Unit, Plan 3, Bldg. 2 Plan 3 </v>
      </c>
    </row>
    <row r="29" spans="1:107" x14ac:dyDescent="0.3">
      <c r="A29" s="258" t="str">
        <f t="shared" si="1"/>
        <v xml:space="preserve">B3 Unit no. 2, End Unit, Plan 3, Bldg. 2 lan 3, </v>
      </c>
      <c r="C29" s="257" t="s">
        <v>674</v>
      </c>
      <c r="D29" s="257" t="s">
        <v>682</v>
      </c>
      <c r="E29" s="259" t="str">
        <f>"B"&amp;RIGHT(C29,1)&amp;"-"&amp;"L"&amp;(MID(D29,10,1))</f>
        <v>B3-L2</v>
      </c>
      <c r="F29" s="255" t="str">
        <f t="shared" si="5"/>
        <v>lan 3,</v>
      </c>
      <c r="H29" s="257">
        <v>209.82</v>
      </c>
      <c r="J29" s="267">
        <f>VLOOKUP(E29,'[3]2-Lot Tagging'!$EB$14:$EC$115,2,FALSE)</f>
        <v>24300000</v>
      </c>
      <c r="DC29" s="272" t="str">
        <f t="shared" si="6"/>
        <v xml:space="preserve">B3 Unit no. 2, End Unit, Plan 3, Bldg. 2 lan 3, </v>
      </c>
    </row>
    <row r="30" spans="1:107" x14ac:dyDescent="0.3">
      <c r="A30" s="258" t="str">
        <f t="shared" si="1"/>
        <v xml:space="preserve">B3 Unit no. 3, End Unit, Plan 3, Bldg. 2 lan 3, </v>
      </c>
      <c r="C30" s="257" t="s">
        <v>674</v>
      </c>
      <c r="D30" s="257" t="s">
        <v>729</v>
      </c>
      <c r="E30" s="259" t="str">
        <f>"B"&amp;RIGHT(C30,1)&amp;"-"&amp;"L"&amp;(MID(D30,10,1))</f>
        <v>B3-L3</v>
      </c>
      <c r="F30" s="255" t="str">
        <f t="shared" si="5"/>
        <v>lan 3,</v>
      </c>
      <c r="H30" s="257">
        <v>209.82</v>
      </c>
      <c r="J30" s="267">
        <f>VLOOKUP(E30,'[3]2-Lot Tagging'!$EB$14:$EC$115,2,FALSE)</f>
        <v>23600000</v>
      </c>
      <c r="DC30" s="272" t="str">
        <f t="shared" si="6"/>
        <v xml:space="preserve">B3 Unit no. 3, End Unit, Plan 3, Bldg. 2 lan 3, </v>
      </c>
    </row>
    <row r="31" spans="1:107" x14ac:dyDescent="0.3">
      <c r="A31" s="258" t="str">
        <f t="shared" si="1"/>
        <v xml:space="preserve">B3 Unit no. 5, Inner Unit, Plan 1, Bldg. 2 Plan 1 </v>
      </c>
      <c r="C31" s="257" t="s">
        <v>674</v>
      </c>
      <c r="D31" s="257" t="s">
        <v>730</v>
      </c>
      <c r="E31" s="259" t="str">
        <f>"B"&amp;RIGHT(C31,1)&amp;"-"&amp;"L"&amp;(MID(D31,10,1))</f>
        <v>B3-L5</v>
      </c>
      <c r="F31" s="255" t="str">
        <f>MID(D31,25,6)</f>
        <v>Plan 1</v>
      </c>
      <c r="H31" s="257">
        <v>134.87</v>
      </c>
      <c r="J31" s="267">
        <f>VLOOKUP(E31,'[3]2-Lot Tagging'!$EB$14:$EC$115,2,FALSE)</f>
        <v>15920000</v>
      </c>
      <c r="DC31" s="272" t="str">
        <f t="shared" si="6"/>
        <v xml:space="preserve">B3 Unit no. 5, Inner Unit, Plan 1, Bldg. 2 Plan 1 </v>
      </c>
    </row>
    <row r="32" spans="1:107" x14ac:dyDescent="0.3">
      <c r="A32" s="258" t="str">
        <f t="shared" si="1"/>
        <v xml:space="preserve">B3 Unit no. 7, End Unit, Plan 3A, Bldg. 2 Plan 3 </v>
      </c>
      <c r="C32" s="257" t="s">
        <v>674</v>
      </c>
      <c r="D32" s="257" t="s">
        <v>685</v>
      </c>
      <c r="E32" s="259" t="str">
        <f>"B"&amp;RIGHT(C32,1)&amp;"-"&amp;"L"&amp;(MID(D32,10,1))</f>
        <v>B3-L7</v>
      </c>
      <c r="F32" s="255" t="str">
        <f>MID(D32,23,6)</f>
        <v>Plan 3</v>
      </c>
      <c r="H32" s="257">
        <v>209.82</v>
      </c>
      <c r="J32" s="267">
        <f>VLOOKUP(E32,'[3]2-Lot Tagging'!$EB$14:$EC$115,2,FALSE)</f>
        <v>28230000</v>
      </c>
      <c r="DC32" s="272" t="str">
        <f t="shared" si="6"/>
        <v xml:space="preserve">B3 Unit no. 7, End Unit, Plan 3A, Bldg. 2 Plan 3 </v>
      </c>
    </row>
    <row r="33" spans="1:107" x14ac:dyDescent="0.3">
      <c r="A33" s="258" t="str">
        <f t="shared" si="1"/>
        <v xml:space="preserve">B4A Unit no. 1, Diana, Single Detached Single Detached </v>
      </c>
      <c r="C33" s="257" t="s">
        <v>735</v>
      </c>
      <c r="D33" s="257" t="s">
        <v>731</v>
      </c>
      <c r="E33" s="259" t="str">
        <f>"B"&amp;RIGHT(C33,2)&amp;"-"&amp;"L"&amp;(MID(D33,10,1))</f>
        <v>B4A-L1</v>
      </c>
      <c r="F33" s="255" t="str">
        <f>MID(D33,20,15)</f>
        <v>Single Detached</v>
      </c>
      <c r="H33" s="257">
        <v>179.25</v>
      </c>
      <c r="J33" s="267">
        <f>VLOOKUP(E33,'[3]2-Lot Tagging'!$EB$14:$EC$115,2,FALSE)</f>
        <v>22140000</v>
      </c>
      <c r="DC33" s="272" t="str">
        <f t="shared" si="6"/>
        <v xml:space="preserve">B4A Unit no. 1, Diana, Single Detached Single Detached </v>
      </c>
    </row>
    <row r="34" spans="1:107" x14ac:dyDescent="0.3">
      <c r="A34" s="258" t="str">
        <f t="shared" si="1"/>
        <v xml:space="preserve">B4A Unit no. 3, Madonna, Single Detached Single Detached </v>
      </c>
      <c r="C34" s="257" t="s">
        <v>735</v>
      </c>
      <c r="D34" s="257" t="s">
        <v>732</v>
      </c>
      <c r="E34" s="259" t="str">
        <f>"B"&amp;RIGHT(C34,2)&amp;"-"&amp;"L"&amp;(MID(D34,10,1))</f>
        <v>B4A-L3</v>
      </c>
      <c r="F34" s="255" t="str">
        <f>MID(D34,22,15)</f>
        <v>Single Detached</v>
      </c>
      <c r="H34" s="257">
        <v>230.99</v>
      </c>
      <c r="J34" s="267">
        <f>VLOOKUP(E34,'[3]2-Lot Tagging'!$EB$14:$EC$115,2,FALSE)</f>
        <v>25980000</v>
      </c>
      <c r="DC34" s="272" t="str">
        <f t="shared" si="6"/>
        <v xml:space="preserve">B4A Unit no. 3, Madonna, Single Detached Single Detached </v>
      </c>
    </row>
    <row r="35" spans="1:107" x14ac:dyDescent="0.3">
      <c r="A35" s="258" t="str">
        <f t="shared" si="1"/>
        <v xml:space="preserve">B4A Unit no. 4, Diana, Single Detached Single Detached </v>
      </c>
      <c r="C35" s="257" t="s">
        <v>735</v>
      </c>
      <c r="D35" s="257" t="s">
        <v>733</v>
      </c>
      <c r="E35" s="259" t="str">
        <f>"B"&amp;RIGHT(C35,2)&amp;"-"&amp;"L"&amp;(MID(D35,10,1))</f>
        <v>B4A-L4</v>
      </c>
      <c r="F35" s="255" t="str">
        <f>MID(D35,20,15)</f>
        <v>Single Detached</v>
      </c>
      <c r="H35" s="257">
        <v>179.25</v>
      </c>
      <c r="J35" s="267">
        <f>VLOOKUP(E35,'[3]2-Lot Tagging'!$EB$14:$EC$115,2,FALSE)</f>
        <v>20160000</v>
      </c>
      <c r="DC35" s="272" t="str">
        <f t="shared" si="6"/>
        <v xml:space="preserve">B4A Unit no. 4, Diana, Single Detached Single Detached </v>
      </c>
    </row>
    <row r="36" spans="1:107" x14ac:dyDescent="0.3">
      <c r="A36" s="258" t="str">
        <f t="shared" si="1"/>
        <v xml:space="preserve">B4A Unit no. 5, Madonna, Single Detached Single Detached </v>
      </c>
      <c r="C36" s="257" t="s">
        <v>735</v>
      </c>
      <c r="D36" s="257" t="s">
        <v>696</v>
      </c>
      <c r="E36" s="259" t="str">
        <f>"B"&amp;RIGHT(C36,2)&amp;"-"&amp;"L"&amp;(MID(D36,10,1))</f>
        <v>B4A-L5</v>
      </c>
      <c r="F36" s="255" t="str">
        <f>MID(D36,22,15)</f>
        <v>Single Detached</v>
      </c>
      <c r="H36" s="257">
        <v>230.99</v>
      </c>
      <c r="J36" s="267">
        <f>VLOOKUP(E36,'[3]2-Lot Tagging'!$EB$14:$EC$115,2,FALSE)</f>
        <v>25980000</v>
      </c>
      <c r="DC36" s="272" t="str">
        <f t="shared" si="6"/>
        <v xml:space="preserve">B4A Unit no. 5, Madonna, Single Detached Single Detached </v>
      </c>
    </row>
    <row r="37" spans="1:107" x14ac:dyDescent="0.3">
      <c r="A37" s="258" t="str">
        <f t="shared" si="1"/>
        <v xml:space="preserve">B4A Unit no. 6, Diana, Single Detached Single Detached </v>
      </c>
      <c r="C37" s="257" t="s">
        <v>735</v>
      </c>
      <c r="D37" s="257" t="s">
        <v>697</v>
      </c>
      <c r="E37" s="259" t="str">
        <f>"B"&amp;RIGHT(C37,2)&amp;"-"&amp;"L"&amp;(MID(D37,10,1))</f>
        <v>B4A-L6</v>
      </c>
      <c r="F37" s="255" t="str">
        <f>MID(D37,20,15)</f>
        <v>Single Detached</v>
      </c>
      <c r="H37" s="257">
        <v>179.25</v>
      </c>
      <c r="J37" s="267">
        <f>VLOOKUP(E37,'[3]2-Lot Tagging'!$EB$14:$EC$115,2,FALSE)</f>
        <v>20160000</v>
      </c>
      <c r="DC37" s="272" t="str">
        <f t="shared" si="6"/>
        <v xml:space="preserve">B4A Unit no. 6, Diana, Single Detached Single Detached </v>
      </c>
    </row>
    <row r="38" spans="1:107" x14ac:dyDescent="0.3">
      <c r="A38" s="258" t="str">
        <f t="shared" si="1"/>
        <v xml:space="preserve">B3 Unit no. 11, Inner Unit, Plan 1, Bldg. 2 Plan 1 </v>
      </c>
      <c r="C38" s="257" t="s">
        <v>674</v>
      </c>
      <c r="D38" s="257" t="s">
        <v>555</v>
      </c>
      <c r="E38" s="259" t="str">
        <f>"B"&amp;RIGHT(C38,1)&amp;"-"&amp;"L"&amp;(MID(D38,10,2))</f>
        <v>B3-L11</v>
      </c>
      <c r="F38" s="255" t="str">
        <f>MID(D38,26,6)</f>
        <v>Plan 1</v>
      </c>
      <c r="H38" s="257">
        <v>134.87</v>
      </c>
      <c r="J38" s="267">
        <f>VLOOKUP(E38,'[3]2-Lot Tagging'!$EB$14:$EC$115,2,FALSE)</f>
        <v>15920000</v>
      </c>
      <c r="DC38" s="272" t="str">
        <f t="shared" si="6"/>
        <v xml:space="preserve">B3 Unit no. 11, Inner Unit, Plan 1, Bldg. 2 Plan 1 </v>
      </c>
    </row>
    <row r="39" spans="1:107" x14ac:dyDescent="0.3">
      <c r="A39" s="258" t="str">
        <f t="shared" si="1"/>
        <v xml:space="preserve">B3 Unit no. 13, End Unit, Plan 3, Bldg. 2 Plan 3 </v>
      </c>
      <c r="C39" s="257" t="s">
        <v>674</v>
      </c>
      <c r="D39" s="257" t="s">
        <v>686</v>
      </c>
      <c r="E39" s="259" t="str">
        <f>"B"&amp;RIGHT(C39,1)&amp;"-"&amp;"L"&amp;(MID(D39,10,2))</f>
        <v>B3-L13</v>
      </c>
      <c r="F39" s="255" t="str">
        <f t="shared" si="5"/>
        <v>Plan 3</v>
      </c>
      <c r="H39" s="257">
        <v>209.82</v>
      </c>
      <c r="J39" s="267">
        <f>VLOOKUP(E39,'[3]2-Lot Tagging'!$EB$14:$EC$115,2,FALSE)</f>
        <v>25920000</v>
      </c>
      <c r="DC39" s="272" t="str">
        <f t="shared" si="6"/>
        <v xml:space="preserve">B3 Unit no. 13, End Unit, Plan 3, Bldg. 2 Plan 3 </v>
      </c>
    </row>
    <row r="40" spans="1:107" x14ac:dyDescent="0.3">
      <c r="A40" s="258" t="str">
        <f t="shared" si="1"/>
        <v xml:space="preserve">B3 Unit no. 9, End Unit, Plan 3A, Bldg. 2 lan 3A </v>
      </c>
      <c r="C40" s="257" t="s">
        <v>674</v>
      </c>
      <c r="D40" s="257" t="s">
        <v>687</v>
      </c>
      <c r="E40" s="259" t="str">
        <f>"B"&amp;RIGHT(C40,1)&amp;"-"&amp;"L"&amp;(MID(D40,10,1))</f>
        <v>B3-L9</v>
      </c>
      <c r="F40" s="255" t="str">
        <f t="shared" si="5"/>
        <v>lan 3A</v>
      </c>
      <c r="H40" s="257">
        <v>209.82</v>
      </c>
      <c r="J40" s="267">
        <f>VLOOKUP(E40,'[3]2-Lot Tagging'!$EB$14:$EC$115,2,FALSE)</f>
        <v>28230000</v>
      </c>
      <c r="DC40" s="272" t="str">
        <f t="shared" si="6"/>
        <v xml:space="preserve">B3 Unit no. 9, End Unit, Plan 3A, Bldg. 2 lan 3A </v>
      </c>
    </row>
    <row r="41" spans="1:107" x14ac:dyDescent="0.3">
      <c r="A41" s="258" t="str">
        <f t="shared" si="1"/>
        <v xml:space="preserve">B3A Unit no. 20, End Unit, Plan 6, Duplex 2 Plan 6 </v>
      </c>
      <c r="C41" s="257" t="s">
        <v>736</v>
      </c>
      <c r="D41" s="257" t="s">
        <v>688</v>
      </c>
      <c r="E41" s="259" t="str">
        <f t="shared" ref="E41:E48" si="7">"B"&amp;RIGHT(C41,2)&amp;"-"&amp;"L"&amp;(MID(D41,10,2))</f>
        <v>B3A-L20</v>
      </c>
      <c r="F41" s="255" t="str">
        <f t="shared" si="5"/>
        <v>Plan 6</v>
      </c>
      <c r="H41" s="257">
        <v>222.77</v>
      </c>
      <c r="J41" s="267">
        <f>VLOOKUP(E41,'[3]2-Lot Tagging'!$EB$14:$EC$115,2,FALSE)</f>
        <v>25060000</v>
      </c>
      <c r="DC41" s="272" t="str">
        <f t="shared" si="6"/>
        <v xml:space="preserve">B3A Unit no. 20, End Unit, Plan 6, Duplex 2 Plan 6 </v>
      </c>
    </row>
    <row r="42" spans="1:107" x14ac:dyDescent="0.3">
      <c r="A42" s="258" t="str">
        <f t="shared" si="1"/>
        <v xml:space="preserve">B3A Unit no. 21, End Unit, Plan 7, Duplex 2 Plan 7 </v>
      </c>
      <c r="C42" s="257" t="s">
        <v>736</v>
      </c>
      <c r="D42" s="257" t="s">
        <v>689</v>
      </c>
      <c r="E42" s="259" t="str">
        <f t="shared" si="7"/>
        <v>B3A-L21</v>
      </c>
      <c r="F42" s="255" t="str">
        <f t="shared" si="5"/>
        <v>Plan 7</v>
      </c>
      <c r="H42" s="257">
        <v>212.12</v>
      </c>
      <c r="J42" s="267">
        <f>VLOOKUP(E42,'[3]2-Lot Tagging'!$EB$14:$EC$115,2,FALSE)</f>
        <v>23860000</v>
      </c>
      <c r="DC42" s="272" t="str">
        <f t="shared" si="6"/>
        <v xml:space="preserve">B3A Unit no. 21, End Unit, Plan 7, Duplex 2 Plan 7 </v>
      </c>
    </row>
    <row r="43" spans="1:107" x14ac:dyDescent="0.3">
      <c r="A43" s="258" t="str">
        <f t="shared" si="1"/>
        <v xml:space="preserve">B3A Unit no. 22, End Unit, Plan 4, Duplex 1 Plan 4 </v>
      </c>
      <c r="C43" s="257" t="s">
        <v>736</v>
      </c>
      <c r="D43" s="257" t="s">
        <v>690</v>
      </c>
      <c r="E43" s="259" t="str">
        <f t="shared" si="7"/>
        <v>B3A-L22</v>
      </c>
      <c r="F43" s="255" t="str">
        <f t="shared" si="5"/>
        <v>Plan 4</v>
      </c>
      <c r="H43" s="257">
        <v>195.08</v>
      </c>
      <c r="J43" s="267">
        <f>VLOOKUP(E43,'[3]2-Lot Tagging'!$EB$14:$EC$115,2,FALSE)</f>
        <v>17640000</v>
      </c>
      <c r="DC43" s="272" t="str">
        <f t="shared" si="6"/>
        <v xml:space="preserve">B3A Unit no. 22, End Unit, Plan 4, Duplex 1 Plan 4 </v>
      </c>
    </row>
    <row r="44" spans="1:107" x14ac:dyDescent="0.3">
      <c r="A44" s="258" t="str">
        <f t="shared" si="1"/>
        <v xml:space="preserve">B3A Unit no. 23, End Unit, Plan 5, Duplex 1 Plan 5 </v>
      </c>
      <c r="C44" s="257" t="s">
        <v>736</v>
      </c>
      <c r="D44" s="257" t="s">
        <v>691</v>
      </c>
      <c r="E44" s="259" t="str">
        <f t="shared" si="7"/>
        <v>B3A-L23</v>
      </c>
      <c r="F44" s="255" t="str">
        <f t="shared" si="5"/>
        <v>Plan 5</v>
      </c>
      <c r="H44" s="257">
        <v>214.84</v>
      </c>
      <c r="J44" s="267">
        <f>VLOOKUP(E44,'[3]2-Lot Tagging'!$EB$14:$EC$115,2,FALSE)</f>
        <v>24170000</v>
      </c>
      <c r="DC44" s="272" t="str">
        <f t="shared" si="6"/>
        <v xml:space="preserve">B3A Unit no. 23, End Unit, Plan 5, Duplex 1 Plan 5 </v>
      </c>
    </row>
    <row r="45" spans="1:107" x14ac:dyDescent="0.3">
      <c r="A45" s="258" t="str">
        <f t="shared" si="1"/>
        <v xml:space="preserve">B3A Unit no. 24, End Unit, Plan 6, Duplex 2 Plan 6 </v>
      </c>
      <c r="C45" s="257" t="s">
        <v>736</v>
      </c>
      <c r="D45" s="257" t="s">
        <v>692</v>
      </c>
      <c r="E45" s="259" t="str">
        <f t="shared" si="7"/>
        <v>B3A-L24</v>
      </c>
      <c r="F45" s="255" t="str">
        <f t="shared" si="5"/>
        <v>Plan 6</v>
      </c>
      <c r="H45" s="257">
        <v>222.77</v>
      </c>
      <c r="J45" s="267">
        <f>VLOOKUP(E45,'[3]2-Lot Tagging'!$EB$14:$EC$115,2,FALSE)</f>
        <v>25060000</v>
      </c>
      <c r="DC45" s="272" t="str">
        <f t="shared" si="6"/>
        <v xml:space="preserve">B3A Unit no. 24, End Unit, Plan 6, Duplex 2 Plan 6 </v>
      </c>
    </row>
    <row r="46" spans="1:107" x14ac:dyDescent="0.3">
      <c r="A46" s="258" t="str">
        <f t="shared" si="1"/>
        <v xml:space="preserve">B3A Unit no. 25, End Unit, Plan 7, Duplex 2 Plan 7 </v>
      </c>
      <c r="C46" s="257" t="s">
        <v>736</v>
      </c>
      <c r="D46" s="257" t="s">
        <v>693</v>
      </c>
      <c r="E46" s="259" t="str">
        <f t="shared" si="7"/>
        <v>B3A-L25</v>
      </c>
      <c r="F46" s="255" t="str">
        <f t="shared" si="5"/>
        <v>Plan 7</v>
      </c>
      <c r="H46" s="257">
        <v>212.12</v>
      </c>
      <c r="J46" s="267">
        <f>VLOOKUP(E46,'[3]2-Lot Tagging'!$EB$14:$EC$115,2,FALSE)</f>
        <v>23860000</v>
      </c>
      <c r="DC46" s="272" t="str">
        <f t="shared" si="6"/>
        <v xml:space="preserve">B3A Unit no. 25, End Unit, Plan 7, Duplex 2 Plan 7 </v>
      </c>
    </row>
    <row r="47" spans="1:107" x14ac:dyDescent="0.3">
      <c r="A47" s="258" t="str">
        <f t="shared" si="1"/>
        <v xml:space="preserve">B3A Unit no. 28, End Unit, Plan 7, Duplex 2 Plan 7 </v>
      </c>
      <c r="C47" s="257" t="s">
        <v>736</v>
      </c>
      <c r="D47" s="257" t="s">
        <v>694</v>
      </c>
      <c r="E47" s="259" t="str">
        <f t="shared" si="7"/>
        <v>B3A-L28</v>
      </c>
      <c r="F47" s="255" t="str">
        <f t="shared" si="5"/>
        <v>Plan 7</v>
      </c>
      <c r="H47" s="257">
        <v>212.12</v>
      </c>
      <c r="J47" s="267">
        <f>VLOOKUP(E47,'[3]2-Lot Tagging'!$EB$14:$EC$115,2,FALSE)</f>
        <v>23860000</v>
      </c>
      <c r="DC47" s="272" t="str">
        <f t="shared" si="6"/>
        <v xml:space="preserve">B3A Unit no. 28, End Unit, Plan 7, Duplex 2 Plan 7 </v>
      </c>
    </row>
    <row r="48" spans="1:107" x14ac:dyDescent="0.3">
      <c r="A48" s="258" t="str">
        <f t="shared" si="1"/>
        <v xml:space="preserve">B3A Unit no. 29, End Unit, Plan 6, Duplex 2 Plan 6 </v>
      </c>
      <c r="C48" s="257" t="s">
        <v>736</v>
      </c>
      <c r="D48" s="257" t="s">
        <v>695</v>
      </c>
      <c r="E48" s="259" t="str">
        <f t="shared" si="7"/>
        <v>B3A-L29</v>
      </c>
      <c r="F48" s="255" t="str">
        <f t="shared" si="5"/>
        <v>Plan 6</v>
      </c>
      <c r="H48" s="257">
        <v>222.77</v>
      </c>
      <c r="J48" s="267">
        <f>VLOOKUP(E48,'[3]2-Lot Tagging'!$EB$14:$EC$115,2,FALSE)</f>
        <v>17690000</v>
      </c>
      <c r="DC48" s="272" t="str">
        <f t="shared" si="6"/>
        <v xml:space="preserve">B3A Unit no. 29, End Unit, Plan 6, Duplex 2 Plan 6 </v>
      </c>
    </row>
    <row r="49" spans="1:107" x14ac:dyDescent="0.3">
      <c r="A49" s="258" t="str">
        <f t="shared" si="1"/>
        <v xml:space="preserve">B5 Unit no. 10, Madonna, Single Detached Single Detached </v>
      </c>
      <c r="C49" s="257" t="s">
        <v>236</v>
      </c>
      <c r="D49" s="257" t="s">
        <v>698</v>
      </c>
      <c r="E49" s="259" t="str">
        <f>"B"&amp;RIGHT(C49,1)&amp;"-"&amp;"L"&amp;(MID(D49,10,2))</f>
        <v>B5-L10</v>
      </c>
      <c r="F49" s="255" t="str">
        <f>MID(D49,23,15)</f>
        <v>Single Detached</v>
      </c>
      <c r="H49" s="257">
        <v>230.99</v>
      </c>
      <c r="J49" s="267">
        <f>VLOOKUP(E49,'[3]2-Lot Tagging'!$EB$14:$EC$115,2,FALSE)</f>
        <v>20890000</v>
      </c>
      <c r="DC49" s="272" t="str">
        <f t="shared" si="6"/>
        <v xml:space="preserve">B5 Unit no. 10, Madonna, Single Detached Single Detached </v>
      </c>
    </row>
    <row r="50" spans="1:107" x14ac:dyDescent="0.3">
      <c r="A50" s="258" t="str">
        <f t="shared" si="1"/>
        <v xml:space="preserve">B5 Unit no. 3, Mona Lisa, Single Detached Single Detached </v>
      </c>
      <c r="C50" s="257" t="s">
        <v>236</v>
      </c>
      <c r="D50" s="257" t="s">
        <v>699</v>
      </c>
      <c r="E50" s="259" t="str">
        <f t="shared" ref="E50:E55" si="8">"B"&amp;RIGHT(C50,1)&amp;"-"&amp;"L"&amp;(MID(D50,10,1))</f>
        <v>B5-L3</v>
      </c>
      <c r="F50" s="255" t="str">
        <f>MID(D50,24,16)</f>
        <v>Single Detached</v>
      </c>
      <c r="H50" s="257">
        <v>185.96</v>
      </c>
      <c r="J50" s="267">
        <f>VLOOKUP(E50,'[3]2-Lot Tagging'!$EB$14:$EC$115,2,FALSE)</f>
        <v>20920000</v>
      </c>
      <c r="DC50" s="272" t="str">
        <f t="shared" si="6"/>
        <v xml:space="preserve">B5 Unit no. 3, Mona Lisa, Single Detached Single Detached </v>
      </c>
    </row>
    <row r="51" spans="1:107" x14ac:dyDescent="0.3">
      <c r="A51" s="258" t="str">
        <f t="shared" si="1"/>
        <v xml:space="preserve">B5 Unit no. 5, Mona Lisa, Single Detached Single Detached </v>
      </c>
      <c r="C51" s="257" t="s">
        <v>236</v>
      </c>
      <c r="D51" s="257" t="s">
        <v>700</v>
      </c>
      <c r="E51" s="259" t="str">
        <f t="shared" si="8"/>
        <v>B5-L5</v>
      </c>
      <c r="F51" s="255" t="str">
        <f>MID(D51,24,16)</f>
        <v>Single Detached</v>
      </c>
      <c r="H51" s="257">
        <v>185.96</v>
      </c>
      <c r="J51" s="267">
        <f>VLOOKUP(E51,'[3]2-Lot Tagging'!$EB$14:$EC$115,2,FALSE)</f>
        <v>20920000</v>
      </c>
      <c r="DC51" s="272" t="str">
        <f t="shared" si="6"/>
        <v xml:space="preserve">B5 Unit no. 5, Mona Lisa, Single Detached Single Detached </v>
      </c>
    </row>
    <row r="52" spans="1:107" x14ac:dyDescent="0.3">
      <c r="A52" s="258" t="str">
        <f t="shared" si="1"/>
        <v xml:space="preserve">B5 Unit no. 6, Madonna, Single Detached Single Detached </v>
      </c>
      <c r="C52" s="257" t="s">
        <v>236</v>
      </c>
      <c r="D52" s="257" t="s">
        <v>701</v>
      </c>
      <c r="E52" s="259" t="str">
        <f t="shared" si="8"/>
        <v>B5-L6</v>
      </c>
      <c r="F52" s="255" t="str">
        <f>MID(D52,22,16)</f>
        <v>Single Detached</v>
      </c>
      <c r="H52" s="257">
        <v>230.99</v>
      </c>
      <c r="J52" s="267">
        <f>VLOOKUP(E52,'[3]2-Lot Tagging'!$EB$14:$EC$115,2,FALSE)</f>
        <v>25980000</v>
      </c>
      <c r="DC52" s="272" t="str">
        <f t="shared" si="6"/>
        <v xml:space="preserve">B5 Unit no. 6, Madonna, Single Detached Single Detached </v>
      </c>
    </row>
    <row r="53" spans="1:107" x14ac:dyDescent="0.3">
      <c r="A53" s="258" t="str">
        <f t="shared" si="1"/>
        <v xml:space="preserve">B5 Unit no. 7, Mona Lisa, Single Detached Single Detached </v>
      </c>
      <c r="C53" s="257" t="s">
        <v>236</v>
      </c>
      <c r="D53" s="257" t="s">
        <v>702</v>
      </c>
      <c r="E53" s="259" t="str">
        <f t="shared" si="8"/>
        <v>B5-L7</v>
      </c>
      <c r="F53" s="255" t="str">
        <f>MID(D53,24,16)</f>
        <v>Single Detached</v>
      </c>
      <c r="H53" s="257">
        <v>185.96</v>
      </c>
      <c r="J53" s="267">
        <f>VLOOKUP(E53,'[3]2-Lot Tagging'!$EB$14:$EC$115,2,FALSE)</f>
        <v>20920000</v>
      </c>
      <c r="DC53" s="272" t="str">
        <f t="shared" si="6"/>
        <v xml:space="preserve">B5 Unit no. 7, Mona Lisa, Single Detached Single Detached </v>
      </c>
    </row>
    <row r="54" spans="1:107" x14ac:dyDescent="0.3">
      <c r="A54" s="258" t="str">
        <f t="shared" si="1"/>
        <v xml:space="preserve">B5 Unit no. 8, Madonna, Single Detached Single Detached </v>
      </c>
      <c r="C54" s="257" t="s">
        <v>236</v>
      </c>
      <c r="D54" s="257" t="s">
        <v>703</v>
      </c>
      <c r="E54" s="259" t="str">
        <f t="shared" si="8"/>
        <v>B5-L8</v>
      </c>
      <c r="F54" s="255" t="str">
        <f>MID(D54,22,16)</f>
        <v>Single Detached</v>
      </c>
      <c r="H54" s="257">
        <v>230.99</v>
      </c>
      <c r="J54" s="267">
        <f>VLOOKUP(E54,'[3]2-Lot Tagging'!$EB$14:$EC$115,2,FALSE)</f>
        <v>25980000</v>
      </c>
      <c r="DC54" s="272" t="str">
        <f t="shared" si="6"/>
        <v xml:space="preserve">B5 Unit no. 8, Madonna, Single Detached Single Detached </v>
      </c>
    </row>
    <row r="55" spans="1:107" x14ac:dyDescent="0.3">
      <c r="A55" s="258" t="str">
        <f t="shared" si="1"/>
        <v xml:space="preserve">B5 Unit no. 9, Mona Lisa, Single Detached Single Detached </v>
      </c>
      <c r="C55" s="257" t="s">
        <v>236</v>
      </c>
      <c r="D55" s="257" t="s">
        <v>704</v>
      </c>
      <c r="E55" s="259" t="str">
        <f t="shared" si="8"/>
        <v>B5-L9</v>
      </c>
      <c r="F55" s="255" t="str">
        <f>MID(D55,24,16)</f>
        <v>Single Detached</v>
      </c>
      <c r="H55" s="257">
        <v>185.96</v>
      </c>
      <c r="J55" s="267">
        <f>VLOOKUP(E55,'[3]2-Lot Tagging'!$EB$14:$EC$115,2,FALSE)</f>
        <v>20920000</v>
      </c>
      <c r="DC55" s="272" t="str">
        <f t="shared" si="6"/>
        <v xml:space="preserve">B5 Unit no. 9, Mona Lisa, Single Detached Single Detached </v>
      </c>
    </row>
    <row r="56" spans="1:107" x14ac:dyDescent="0.3">
      <c r="A56" s="258" t="str">
        <f t="shared" si="1"/>
        <v xml:space="preserve">B1 Unit no. 13, End Unit, Plan 3, Bldg. 2 Plan 3 </v>
      </c>
      <c r="C56" s="257" t="s">
        <v>104</v>
      </c>
      <c r="D56" s="257" t="s">
        <v>686</v>
      </c>
      <c r="E56" s="259" t="str">
        <f>"B"&amp;RIGHT(C56,1)&amp;"-"&amp;"L"&amp;(MID(D56,10,2))</f>
        <v>B1-L13</v>
      </c>
      <c r="F56" s="255" t="str">
        <f t="shared" si="5"/>
        <v>Plan 3</v>
      </c>
      <c r="H56" s="257">
        <v>209.82</v>
      </c>
      <c r="J56" s="267">
        <f>VLOOKUP(E56,'[3]2-Lot Tagging'!$EB$14:$EC$115,2,FALSE)</f>
        <v>21290000</v>
      </c>
      <c r="DC56" s="272" t="str">
        <f t="shared" si="6"/>
        <v xml:space="preserve">B1 Unit no. 13, End Unit, Plan 3, Bldg. 2 Plan 3 </v>
      </c>
    </row>
    <row r="57" spans="1:107" x14ac:dyDescent="0.3">
      <c r="A57" s="258" t="str">
        <f t="shared" si="1"/>
        <v xml:space="preserve">B1 Unit no. 14, Inner Unit, Plan 1, Bldg. 2 Plan 1 </v>
      </c>
      <c r="C57" s="257" t="s">
        <v>104</v>
      </c>
      <c r="D57" s="257" t="s">
        <v>705</v>
      </c>
      <c r="E57" s="259" t="str">
        <f>"B"&amp;RIGHT(C57,1)&amp;"-"&amp;"L"&amp;(MID(D57,10,2))</f>
        <v>B1-L14</v>
      </c>
      <c r="F57" s="255" t="str">
        <f>MID(D57,26,6)</f>
        <v>Plan 1</v>
      </c>
      <c r="H57" s="257">
        <v>134.87</v>
      </c>
      <c r="J57" s="267">
        <f>VLOOKUP(E57,'[3]2-Lot Tagging'!$EB$14:$EC$115,2,FALSE)</f>
        <v>14430000</v>
      </c>
      <c r="DC57" s="272" t="str">
        <f t="shared" si="6"/>
        <v xml:space="preserve">B1 Unit no. 14, Inner Unit, Plan 1, Bldg. 2 Plan 1 </v>
      </c>
    </row>
    <row r="58" spans="1:107" x14ac:dyDescent="0.3">
      <c r="A58" s="258" t="str">
        <f t="shared" si="1"/>
        <v xml:space="preserve">B1 Unit no. 15, End Unit, Plan 3A, Bldg. 2 Plan 3 </v>
      </c>
      <c r="C58" s="257" t="s">
        <v>104</v>
      </c>
      <c r="D58" s="257" t="s">
        <v>706</v>
      </c>
      <c r="E58" s="259" t="str">
        <f>"B"&amp;RIGHT(C58,1)&amp;"-"&amp;"L"&amp;(MID(D58,10,2))</f>
        <v>B1-L15</v>
      </c>
      <c r="F58" s="255" t="str">
        <f t="shared" si="5"/>
        <v>Plan 3</v>
      </c>
      <c r="H58" s="257">
        <v>209.82</v>
      </c>
      <c r="J58" s="267">
        <f>VLOOKUP(E58,'[3]2-Lot Tagging'!$EB$14:$EC$115,2,FALSE)</f>
        <v>25920000</v>
      </c>
      <c r="DC58" s="272" t="str">
        <f t="shared" si="6"/>
        <v xml:space="preserve">B1 Unit no. 15, End Unit, Plan 3A, Bldg. 2 Plan 3 </v>
      </c>
    </row>
    <row r="59" spans="1:107" x14ac:dyDescent="0.3">
      <c r="A59" s="258" t="str">
        <f t="shared" si="1"/>
        <v xml:space="preserve">B1 Unit no. 4, End Unit, Plan 3, Bldg. 2 Plan 3 </v>
      </c>
      <c r="C59" s="257" t="s">
        <v>104</v>
      </c>
      <c r="D59" s="257" t="s">
        <v>707</v>
      </c>
      <c r="E59" s="259" t="str">
        <f>"B"&amp;RIGHT(C59,1)&amp;"-"&amp;"L"&amp;(MID(D59,10,1))</f>
        <v>B1-L4</v>
      </c>
      <c r="F59" s="255" t="str">
        <f>MID(D59,23,6)</f>
        <v>Plan 3</v>
      </c>
      <c r="H59" s="257">
        <v>209.82</v>
      </c>
      <c r="J59" s="267">
        <f>VLOOKUP(E59,'[3]2-Lot Tagging'!$EB$14:$EC$115,2,FALSE)</f>
        <v>26610000</v>
      </c>
      <c r="DC59" s="272" t="str">
        <f t="shared" si="6"/>
        <v xml:space="preserve">B1 Unit no. 4, End Unit, Plan 3, Bldg. 2 Plan 3 </v>
      </c>
    </row>
    <row r="60" spans="1:107" x14ac:dyDescent="0.3">
      <c r="A60" s="258" t="str">
        <f t="shared" si="1"/>
        <v xml:space="preserve">B1A Unit no. 1, Madonna, Single Detached Single Detached </v>
      </c>
      <c r="C60" s="257" t="s">
        <v>737</v>
      </c>
      <c r="D60" s="257" t="s">
        <v>708</v>
      </c>
      <c r="E60" s="259" t="str">
        <f>"B"&amp;RIGHT(C60,2)&amp;"-"&amp;"L"&amp;(MID(D60,10,1))</f>
        <v>B1A-L1</v>
      </c>
      <c r="F60" s="255" t="str">
        <f>MID(D60,22,16)</f>
        <v>Single Detached</v>
      </c>
      <c r="H60" s="257">
        <v>230.99</v>
      </c>
      <c r="J60" s="267">
        <f>VLOOKUP(E60,'[3]2-Lot Tagging'!$EB$14:$EC$115,2,FALSE)</f>
        <v>31840000</v>
      </c>
      <c r="DC60" s="272" t="str">
        <f t="shared" si="6"/>
        <v xml:space="preserve">B1A Unit no. 1, Madonna, Single Detached Single Detached </v>
      </c>
    </row>
    <row r="61" spans="1:107" x14ac:dyDescent="0.3">
      <c r="A61" s="258" t="str">
        <f t="shared" si="1"/>
        <v xml:space="preserve">B1A Unit no. 2, End Unit, Plan 6, Duplex 2 Plan 6 </v>
      </c>
      <c r="C61" s="257" t="s">
        <v>737</v>
      </c>
      <c r="D61" s="257" t="s">
        <v>709</v>
      </c>
      <c r="E61" s="259" t="str">
        <f>"B"&amp;RIGHT(C61,2)&amp;"-"&amp;"L"&amp;(MID(D61,10,1))</f>
        <v>B1A-L2</v>
      </c>
      <c r="F61" s="255" t="str">
        <f>MID(D61,23,6)</f>
        <v>Plan 6</v>
      </c>
      <c r="H61" s="257">
        <v>222.77</v>
      </c>
      <c r="J61" s="267">
        <f>VLOOKUP(E61,'[3]2-Lot Tagging'!$EB$14:$EC$115,2,FALSE)</f>
        <v>28250000</v>
      </c>
      <c r="DC61" s="272" t="str">
        <f t="shared" si="6"/>
        <v xml:space="preserve">B1A Unit no. 2, End Unit, Plan 6, Duplex 2 Plan 6 </v>
      </c>
    </row>
    <row r="62" spans="1:107" x14ac:dyDescent="0.3">
      <c r="A62" s="258" t="str">
        <f t="shared" si="1"/>
        <v xml:space="preserve">B1A Unit no. 3, End Unit, Plan 7, Duplex 2 Plan 7 </v>
      </c>
      <c r="C62" s="257" t="s">
        <v>737</v>
      </c>
      <c r="D62" s="257" t="s">
        <v>710</v>
      </c>
      <c r="E62" s="259" t="str">
        <f>"B"&amp;RIGHT(C62,2)&amp;"-"&amp;"L"&amp;(MID(D62,10,1))</f>
        <v>B1A-L3</v>
      </c>
      <c r="F62" s="255" t="str">
        <f>MID(D62,23,6)</f>
        <v>Plan 7</v>
      </c>
      <c r="H62" s="257">
        <v>212.12</v>
      </c>
      <c r="J62" s="267">
        <f>VLOOKUP(E62,'[3]2-Lot Tagging'!$EB$14:$EC$115,2,FALSE)</f>
        <v>26900000</v>
      </c>
      <c r="DC62" s="272" t="str">
        <f t="shared" si="6"/>
        <v xml:space="preserve">B1A Unit no. 3, End Unit, Plan 7, Duplex 2 Plan 7 </v>
      </c>
    </row>
    <row r="63" spans="1:107" x14ac:dyDescent="0.3">
      <c r="A63" s="258" t="str">
        <f t="shared" si="1"/>
        <v xml:space="preserve">B1B Unit no. 22, End Unit, Plan 7, Duplex 2 Plan 7 </v>
      </c>
      <c r="C63" s="257" t="s">
        <v>738</v>
      </c>
      <c r="D63" s="257" t="s">
        <v>711</v>
      </c>
      <c r="E63" s="259" t="str">
        <f>"B"&amp;RIGHT(C63,2)&amp;"-"&amp;"L"&amp;(MID(D63,10,2))</f>
        <v>B1B-L22</v>
      </c>
      <c r="F63" s="255" t="str">
        <f t="shared" si="5"/>
        <v>Plan 7</v>
      </c>
      <c r="H63" s="257">
        <v>212.12</v>
      </c>
      <c r="J63" s="267">
        <f>VLOOKUP(E63,'[3]2-Lot Tagging'!$EB$14:$EC$115,2,FALSE)</f>
        <v>25030000</v>
      </c>
      <c r="DC63" s="272" t="str">
        <f t="shared" si="6"/>
        <v xml:space="preserve">B1B Unit no. 22, End Unit, Plan 7, Duplex 2 Plan 7 </v>
      </c>
    </row>
    <row r="64" spans="1:107" x14ac:dyDescent="0.3">
      <c r="A64" s="258" t="str">
        <f t="shared" si="1"/>
        <v xml:space="preserve">B1B Unit no. 23, End Unit, Plan 6, Duplex 2 Plan 6 </v>
      </c>
      <c r="C64" s="257" t="s">
        <v>738</v>
      </c>
      <c r="D64" s="257" t="s">
        <v>712</v>
      </c>
      <c r="E64" s="259" t="str">
        <f>"B"&amp;RIGHT(C64,2)&amp;"-"&amp;"L"&amp;(MID(D64,10,2))</f>
        <v>B1B-L23</v>
      </c>
      <c r="F64" s="255" t="str">
        <f t="shared" si="5"/>
        <v>Plan 6</v>
      </c>
      <c r="H64" s="257">
        <v>222.77</v>
      </c>
      <c r="J64" s="267">
        <f>VLOOKUP(E64,'[3]2-Lot Tagging'!$EB$14:$EC$115,2,FALSE)</f>
        <v>28740000</v>
      </c>
      <c r="DC64" s="272" t="str">
        <f t="shared" si="6"/>
        <v xml:space="preserve">B1B Unit no. 23, End Unit, Plan 6, Duplex 2 Plan 6 </v>
      </c>
    </row>
    <row r="65" spans="1:107" x14ac:dyDescent="0.3">
      <c r="A65" s="258" t="str">
        <f t="shared" si="1"/>
        <v xml:space="preserve">B2 Unit no. 10, Inner Unit, Plan 1, Bldg. 2 Plan 1 </v>
      </c>
      <c r="C65" s="257" t="s">
        <v>217</v>
      </c>
      <c r="D65" s="257" t="s">
        <v>679</v>
      </c>
      <c r="E65" s="259" t="str">
        <f>"B"&amp;RIGHT(C65,1)&amp;"-"&amp;"L"&amp;(MID(D65,10,2))</f>
        <v>B2-L10</v>
      </c>
      <c r="F65" s="255" t="str">
        <f>MID(D65,26,6)</f>
        <v>Plan 1</v>
      </c>
      <c r="H65" s="257">
        <v>134.87</v>
      </c>
      <c r="J65" s="267">
        <f>VLOOKUP(E65,'[3]2-Lot Tagging'!$EB$14:$EC$115,2,FALSE)</f>
        <v>15920000</v>
      </c>
      <c r="DC65" s="272" t="str">
        <f t="shared" si="6"/>
        <v xml:space="preserve">B2 Unit no. 10, Inner Unit, Plan 1, Bldg. 2 Plan 1 </v>
      </c>
    </row>
    <row r="66" spans="1:107" x14ac:dyDescent="0.3">
      <c r="A66" s="258" t="str">
        <f t="shared" ref="A66:A72" si="9">DC66</f>
        <v xml:space="preserve">B2 Unit no. 12, End Unit, Plan 3, Bldg. 2 Plan 3 </v>
      </c>
      <c r="C66" s="257" t="s">
        <v>217</v>
      </c>
      <c r="D66" s="257" t="s">
        <v>680</v>
      </c>
      <c r="E66" s="259" t="str">
        <f>"B"&amp;RIGHT(C66,1)&amp;"-"&amp;"L"&amp;(MID(D66,10,2))</f>
        <v>B2-L12</v>
      </c>
      <c r="F66" s="255" t="str">
        <f t="shared" si="5"/>
        <v>Plan 3</v>
      </c>
      <c r="H66" s="257">
        <v>209.82</v>
      </c>
      <c r="J66" s="267">
        <f>VLOOKUP(E66,'[3]2-Lot Tagging'!$EB$14:$EC$115,2,FALSE)</f>
        <v>28230000</v>
      </c>
      <c r="DC66" s="272" t="str">
        <f t="shared" si="6"/>
        <v xml:space="preserve">B2 Unit no. 12, End Unit, Plan 3, Bldg. 2 Plan 3 </v>
      </c>
    </row>
    <row r="67" spans="1:107" x14ac:dyDescent="0.3">
      <c r="A67" s="258" t="str">
        <f t="shared" si="9"/>
        <v xml:space="preserve">B2 Unit no. 15, Inner Unit, Plan 1, Bldg. 2 Plan 1 </v>
      </c>
      <c r="C67" s="257" t="s">
        <v>217</v>
      </c>
      <c r="D67" s="257" t="s">
        <v>681</v>
      </c>
      <c r="E67" s="259" t="str">
        <f>"B"&amp;RIGHT(C67,1)&amp;"-"&amp;"L"&amp;(MID(D67,10,2))</f>
        <v>B2-L15</v>
      </c>
      <c r="F67" s="255" t="str">
        <f>MID(D67,26,6)</f>
        <v>Plan 1</v>
      </c>
      <c r="H67" s="257">
        <v>134.87</v>
      </c>
      <c r="J67" s="267">
        <f>VLOOKUP(E67,'[3]2-Lot Tagging'!$EB$14:$EC$115,2,FALSE)</f>
        <v>14430000</v>
      </c>
      <c r="DC67" s="272" t="str">
        <f t="shared" si="6"/>
        <v xml:space="preserve">B2 Unit no. 15, Inner Unit, Plan 1, Bldg. 2 Plan 1 </v>
      </c>
    </row>
    <row r="68" spans="1:107" x14ac:dyDescent="0.3">
      <c r="A68" s="258" t="str">
        <f t="shared" si="9"/>
        <v xml:space="preserve">B2 Unit no. 2, End Unit, Plan 3, Bldg. 2 Plan 3 </v>
      </c>
      <c r="C68" s="257" t="s">
        <v>217</v>
      </c>
      <c r="D68" s="257" t="s">
        <v>682</v>
      </c>
      <c r="E68" s="259" t="str">
        <f>"B"&amp;RIGHT(C68,1)&amp;"-"&amp;"L"&amp;(MID(D68,10,1))</f>
        <v>B2-L2</v>
      </c>
      <c r="F68" s="255" t="str">
        <f>MID(D68,23,6)</f>
        <v>Plan 3</v>
      </c>
      <c r="H68" s="257">
        <v>209.82</v>
      </c>
      <c r="J68" s="267">
        <f>VLOOKUP(E68,'[3]2-Lot Tagging'!$EB$14:$EC$115,2,FALSE)</f>
        <v>27770000</v>
      </c>
      <c r="DC68" s="272" t="str">
        <f t="shared" si="6"/>
        <v xml:space="preserve">B2 Unit no. 2, End Unit, Plan 3, Bldg. 2 Plan 3 </v>
      </c>
    </row>
    <row r="69" spans="1:107" x14ac:dyDescent="0.3">
      <c r="A69" s="258" t="str">
        <f t="shared" si="9"/>
        <v xml:space="preserve">B2 Unit no. 4, Inner Unit, Plan 1, Bldg. 2 Plan 1 </v>
      </c>
      <c r="C69" s="257" t="s">
        <v>217</v>
      </c>
      <c r="D69" s="257" t="s">
        <v>683</v>
      </c>
      <c r="E69" s="259" t="str">
        <f>"B"&amp;RIGHT(C69,1)&amp;"-"&amp;"L"&amp;(MID(D69,10,1))</f>
        <v>B2-L4</v>
      </c>
      <c r="F69" s="255" t="str">
        <f>MID(D69,25,6)</f>
        <v>Plan 1</v>
      </c>
      <c r="H69" s="257">
        <v>134.87</v>
      </c>
      <c r="J69" s="267">
        <f>VLOOKUP(E69,'[3]2-Lot Tagging'!$EB$14:$EC$115,2,FALSE)</f>
        <v>15620000</v>
      </c>
      <c r="DC69" s="272" t="str">
        <f t="shared" si="6"/>
        <v xml:space="preserve">B2 Unit no. 4, Inner Unit, Plan 1, Bldg. 2 Plan 1 </v>
      </c>
    </row>
    <row r="70" spans="1:107" x14ac:dyDescent="0.3">
      <c r="A70" s="258" t="str">
        <f t="shared" si="9"/>
        <v xml:space="preserve">B2 Unit no. 6, End Unit, Plan 3A, Bldg. 2 Plan 3A </v>
      </c>
      <c r="C70" s="257" t="s">
        <v>217</v>
      </c>
      <c r="D70" s="257" t="s">
        <v>684</v>
      </c>
      <c r="E70" s="259" t="str">
        <f>"B"&amp;RIGHT(C70,1)&amp;"-"&amp;"L"&amp;(MID(D70,10,1))</f>
        <v>B2-L6</v>
      </c>
      <c r="F70" s="255" t="str">
        <f>MID(D70,23,7)</f>
        <v>Plan 3A</v>
      </c>
      <c r="H70" s="257">
        <v>209.82</v>
      </c>
      <c r="J70" s="267">
        <f>VLOOKUP(E70,'[3]2-Lot Tagging'!$EB$14:$EC$115,2,FALSE)</f>
        <v>25450000</v>
      </c>
      <c r="DC70" s="272" t="str">
        <f t="shared" si="6"/>
        <v xml:space="preserve">B2 Unit no. 6, End Unit, Plan 3A, Bldg. 2 Plan 3A </v>
      </c>
    </row>
    <row r="71" spans="1:107" x14ac:dyDescent="0.3">
      <c r="A71" s="258" t="str">
        <f t="shared" si="9"/>
        <v xml:space="preserve">B2 Unit no. 7, End Unit, Plan 3A, Bldg. 2 Plan 3A </v>
      </c>
      <c r="C71" s="257" t="s">
        <v>217</v>
      </c>
      <c r="D71" s="257" t="s">
        <v>685</v>
      </c>
      <c r="E71" s="259" t="str">
        <f>"B"&amp;RIGHT(C71,1)&amp;"-"&amp;"L"&amp;(MID(D71,10,1))</f>
        <v>B2-L7</v>
      </c>
      <c r="F71" s="255" t="str">
        <f>MID(D71,23,7)</f>
        <v>Plan 3A</v>
      </c>
      <c r="H71" s="257">
        <v>209.82</v>
      </c>
      <c r="J71" s="267">
        <f>VLOOKUP(E71,'[3]2-Lot Tagging'!$EB$14:$EC$115,2,FALSE)</f>
        <v>24300000</v>
      </c>
      <c r="DC71" s="272" t="str">
        <f t="shared" si="6"/>
        <v xml:space="preserve">B2 Unit no. 7, End Unit, Plan 3A, Bldg. 2 Plan 3A </v>
      </c>
    </row>
    <row r="72" spans="1:107" x14ac:dyDescent="0.3">
      <c r="A72" s="258" t="str">
        <f t="shared" si="9"/>
        <v xml:space="preserve">B2 Unit no. 8, End Unit, Plan 3A, Bldg. 2 Plan 3A </v>
      </c>
      <c r="C72" s="257" t="s">
        <v>217</v>
      </c>
      <c r="D72" s="257" t="s">
        <v>728</v>
      </c>
      <c r="E72" s="259" t="str">
        <f>"B"&amp;RIGHT(C72,1)&amp;"-"&amp;"L"&amp;(MID(D72,10,1))</f>
        <v>B2-L8</v>
      </c>
      <c r="F72" s="255" t="str">
        <f>MID(D72,23,7)</f>
        <v>Plan 3A</v>
      </c>
      <c r="H72" s="257">
        <v>209.82</v>
      </c>
      <c r="J72" s="267">
        <f>VLOOKUP(E72,'[3]2-Lot Tagging'!$EB$14:$EC$115,2,FALSE)</f>
        <v>25920000</v>
      </c>
      <c r="DC72" s="272" t="str">
        <f t="shared" si="6"/>
        <v xml:space="preserve">B2 Unit no. 8, End Unit, Plan 3A, Bldg. 2 Plan 3A 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2:Q174"/>
  <sheetViews>
    <sheetView showGridLines="0" tabSelected="1" zoomScale="70" zoomScaleNormal="70" zoomScalePageLayoutView="115" workbookViewId="0">
      <selection activeCell="D7" sqref="D7"/>
    </sheetView>
  </sheetViews>
  <sheetFormatPr defaultColWidth="8.81640625" defaultRowHeight="14.5" x14ac:dyDescent="0.35"/>
  <cols>
    <col min="1" max="1" width="3.7265625" customWidth="1"/>
    <col min="2" max="2" width="2.26953125" customWidth="1"/>
    <col min="3" max="3" width="27.26953125" customWidth="1"/>
    <col min="4" max="4" width="58.54296875" style="5" customWidth="1"/>
    <col min="5" max="5" width="29.453125" style="186" customWidth="1"/>
    <col min="6" max="6" width="10.453125" style="186" customWidth="1"/>
    <col min="7" max="12" width="8.81640625" style="110"/>
  </cols>
  <sheetData>
    <row r="2" spans="3:17" ht="15" thickBot="1" x14ac:dyDescent="0.4">
      <c r="C2" s="110" t="s">
        <v>654</v>
      </c>
      <c r="E2" s="235"/>
      <c r="F2" s="235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</row>
    <row r="3" spans="3:17" ht="21" x14ac:dyDescent="0.5">
      <c r="C3" s="491" t="s">
        <v>645</v>
      </c>
      <c r="D3" s="492"/>
      <c r="E3" s="251"/>
      <c r="F3" s="251"/>
      <c r="G3" s="252"/>
      <c r="H3" s="251" t="s">
        <v>757</v>
      </c>
      <c r="I3" s="420"/>
      <c r="J3" s="417"/>
      <c r="K3" s="417"/>
      <c r="L3" s="417"/>
      <c r="M3" s="417"/>
      <c r="N3" s="417"/>
      <c r="O3" s="417"/>
      <c r="P3" s="417"/>
      <c r="Q3" s="417"/>
    </row>
    <row r="4" spans="3:17" x14ac:dyDescent="0.35">
      <c r="C4" s="61" t="s">
        <v>0</v>
      </c>
      <c r="D4" s="177"/>
      <c r="E4" s="251" t="s">
        <v>590</v>
      </c>
      <c r="F4" s="253">
        <v>0.09</v>
      </c>
      <c r="G4" s="252"/>
      <c r="H4" s="252" t="s">
        <v>766</v>
      </c>
      <c r="I4" s="420"/>
      <c r="J4" s="417"/>
      <c r="K4" s="417"/>
      <c r="L4" s="417"/>
      <c r="M4" s="417"/>
      <c r="N4" s="417"/>
      <c r="O4" s="417"/>
      <c r="P4" s="417"/>
      <c r="Q4" s="417"/>
    </row>
    <row r="5" spans="3:17" ht="14.25" customHeight="1" x14ac:dyDescent="0.35">
      <c r="C5" s="61" t="s">
        <v>1</v>
      </c>
      <c r="D5" s="178"/>
      <c r="E5" s="251" t="s">
        <v>587</v>
      </c>
      <c r="F5" s="253">
        <v>0.5</v>
      </c>
      <c r="G5" s="252"/>
      <c r="H5" s="252" t="s">
        <v>620</v>
      </c>
      <c r="I5" s="420"/>
      <c r="J5" s="417"/>
      <c r="K5" s="417"/>
      <c r="L5" s="417"/>
      <c r="M5" s="417"/>
      <c r="N5" s="417"/>
      <c r="O5" s="417"/>
      <c r="P5" s="417"/>
      <c r="Q5" s="417"/>
    </row>
    <row r="6" spans="3:17" x14ac:dyDescent="0.35">
      <c r="C6" s="61" t="s">
        <v>2</v>
      </c>
      <c r="D6" s="178"/>
      <c r="E6" s="251" t="s">
        <v>591</v>
      </c>
      <c r="F6" s="253">
        <v>0.01</v>
      </c>
      <c r="G6" s="252"/>
      <c r="H6" s="252" t="s">
        <v>644</v>
      </c>
      <c r="I6" s="420"/>
      <c r="J6" s="417"/>
      <c r="K6" s="417"/>
      <c r="L6" s="417"/>
      <c r="M6" s="417"/>
      <c r="N6" s="417"/>
      <c r="O6" s="417"/>
      <c r="P6" s="417"/>
      <c r="Q6" s="417"/>
    </row>
    <row r="7" spans="3:17" x14ac:dyDescent="0.35">
      <c r="C7" s="61" t="s">
        <v>3</v>
      </c>
      <c r="D7" s="179" t="s">
        <v>757</v>
      </c>
      <c r="E7" s="251"/>
      <c r="F7" s="251"/>
      <c r="G7" s="252"/>
      <c r="H7" s="252" t="s">
        <v>615</v>
      </c>
      <c r="I7" s="420"/>
      <c r="J7" s="417"/>
      <c r="K7" s="417"/>
      <c r="L7" s="417"/>
      <c r="M7" s="417"/>
      <c r="N7" s="417"/>
      <c r="O7" s="417"/>
      <c r="P7" s="417"/>
      <c r="Q7" s="417"/>
    </row>
    <row r="8" spans="3:17" x14ac:dyDescent="0.35">
      <c r="C8" s="61" t="s">
        <v>758</v>
      </c>
      <c r="D8" s="178" t="s">
        <v>821</v>
      </c>
      <c r="E8" s="251" t="str">
        <f>IF(D7=H3,LEFT(D8,2),"0")</f>
        <v>B-</v>
      </c>
      <c r="F8" s="254"/>
      <c r="G8" s="252"/>
      <c r="H8" s="252" t="s">
        <v>621</v>
      </c>
      <c r="I8" s="420"/>
      <c r="J8" s="417"/>
      <c r="K8" s="417"/>
      <c r="L8" s="417"/>
      <c r="M8" s="417"/>
      <c r="N8" s="417"/>
      <c r="O8" s="417"/>
      <c r="P8" s="417"/>
      <c r="Q8" s="417"/>
    </row>
    <row r="9" spans="3:17" x14ac:dyDescent="0.35">
      <c r="C9" s="123" t="s">
        <v>247</v>
      </c>
      <c r="D9" s="108" t="str">
        <f>IF($D$7="Sunshine Place",VLOOKUP($D$8,'Sunshine Place'!$A$2:$DH$15,22,FALSE),IF($D$7="The Meridien",VLOOKUP($D$8,Meridien!A2:DH7,22,FALSE),IF($D$7="The Arborage",VLOOKUP($D$8,'The Arborage'!A:V,22,FALSE),IF($D$7="Woodmore Spring",VLOOKUP($D$8,'Woodmore Spring'!$A$2:$DH$10,22,FALSE),IF($D$7="West Parc",VLOOKUP($D$8,'West Parc'!$A$2:$DH$28,22,FALSE),"Horizontal Condominium")))))</f>
        <v>Lot</v>
      </c>
      <c r="E9" s="182" t="s">
        <v>586</v>
      </c>
      <c r="F9" s="183">
        <v>6.6E-4</v>
      </c>
      <c r="G9" s="248"/>
      <c r="H9" s="248"/>
      <c r="I9" s="417"/>
      <c r="J9" s="417"/>
      <c r="K9" s="417"/>
      <c r="L9" s="417"/>
      <c r="M9" s="417"/>
      <c r="N9" s="417"/>
      <c r="O9" s="417"/>
      <c r="P9" s="417"/>
      <c r="Q9" s="417"/>
    </row>
    <row r="10" spans="3:17" x14ac:dyDescent="0.35">
      <c r="C10" s="124" t="s">
        <v>574</v>
      </c>
      <c r="D10" s="111">
        <f>IF(D7="Sunshine Place",VLOOKUP(D8,'Price List'!A139:M154,2,0),IF(D7="Woodmore Spring",VLOOKUP(D8,'Price List'!A155:M165,2,0),IF(D7="West Parc",VLOOKUP(D8,'Price List'!A166:M194,2,0),IF(D7="The Meridien",VLOOKUP(D8,'Price List'!A195:M202,2,0),IF(D7="The Arborage",VLOOKUP(D8,'Price List'!A12:M138,2,0),IF(D7="Prominence II",VLOOKUP(D8,'Price List'!A203:M221,2,0),"N/A"))))))</f>
        <v>168</v>
      </c>
      <c r="E10" s="235"/>
      <c r="F10" s="235"/>
      <c r="G10" s="417"/>
      <c r="H10" s="417"/>
      <c r="I10" s="417"/>
      <c r="J10" s="417"/>
      <c r="K10" s="417"/>
      <c r="L10" s="417"/>
      <c r="M10" s="417"/>
      <c r="N10" s="417"/>
      <c r="O10" s="417"/>
      <c r="P10" s="417"/>
      <c r="Q10" s="417"/>
    </row>
    <row r="11" spans="3:17" x14ac:dyDescent="0.35">
      <c r="C11" s="124" t="s">
        <v>651</v>
      </c>
      <c r="D11" s="111">
        <f>IF(D7="Sunshine Place",VLOOKUP(D8,'Price List'!A139:M154,3,0),IF(D7="Woodmore Spring",VLOOKUP(D8,'Price List'!A155:M165,3,0),IF(D7="West Parc",VLOOKUP(D8,'Price List'!A166:M194,3,0),IF(D7="The Meridien",VLOOKUP(D8,'Price List'!A195:M202,3,0),IF(D7="The Arborage",VLOOKUP(D8,'Price List'!A12:M138,3,0),IF(D7="Prominence II",VLOOKUP(D8,'Price List'!A203:M221,3,0),"N/A"))))))</f>
        <v>0</v>
      </c>
      <c r="E11" s="235"/>
      <c r="F11" s="235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</row>
    <row r="12" spans="3:17" x14ac:dyDescent="0.35">
      <c r="C12" s="124" t="s">
        <v>649</v>
      </c>
      <c r="D12" s="112">
        <f>IF(D7="Sunshine Place",VLOOKUP(D8,'Price List'!A139:M154,6,0),IF(D7="Woodmore Spring",VLOOKUP(D8,'Price List'!A155:M165,6,0),IF(D7="West Parc",VLOOKUP(D8,'Price List'!A166:M194,6,0),IF(D7="The Meridien",VLOOKUP(D8,'Price List'!A195:M202,6,0),IF(D7="The Arborage",VLOOKUP(D8,'Price List'!A12:M138,6,0),IF(D7="Prominence II",VLOOKUP(D8,'Price List'!A203:M221,6,0),"N/A"))))))</f>
        <v>5641104</v>
      </c>
      <c r="E12" s="421"/>
      <c r="F12" s="235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</row>
    <row r="13" spans="3:17" ht="15" thickBot="1" x14ac:dyDescent="0.4">
      <c r="C13" s="198" t="s">
        <v>652</v>
      </c>
      <c r="D13" s="199">
        <f>VLOOKUP(Input!D8,'Price List'!A12:M276,7,0)</f>
        <v>0</v>
      </c>
      <c r="E13" s="235"/>
      <c r="F13" s="235"/>
      <c r="G13" s="417"/>
      <c r="H13" s="417"/>
      <c r="I13" s="417"/>
      <c r="J13" s="417"/>
      <c r="K13" s="417"/>
      <c r="L13" s="417"/>
      <c r="M13" s="417"/>
      <c r="N13" s="417"/>
      <c r="O13" s="417"/>
      <c r="P13" s="417"/>
      <c r="Q13" s="417"/>
    </row>
    <row r="14" spans="3:17" ht="15" hidden="1" thickBot="1" x14ac:dyDescent="0.4">
      <c r="C14" s="196" t="s">
        <v>650</v>
      </c>
      <c r="D14" s="197">
        <f>IF(D9="House and Lot",F9,IF(D9="Lot",F8,F9))</f>
        <v>0</v>
      </c>
      <c r="E14" s="235"/>
      <c r="F14" s="235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</row>
    <row r="15" spans="3:17" x14ac:dyDescent="0.35">
      <c r="C15" s="113" t="s">
        <v>653</v>
      </c>
      <c r="E15" s="235"/>
      <c r="F15" s="235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</row>
    <row r="16" spans="3:17" x14ac:dyDescent="0.35">
      <c r="D16" s="407"/>
      <c r="E16" s="235"/>
      <c r="F16" s="235"/>
      <c r="G16" s="422"/>
      <c r="H16" s="417"/>
      <c r="I16" s="417"/>
      <c r="J16" s="417"/>
      <c r="K16" s="417"/>
      <c r="L16" s="417"/>
      <c r="M16" s="417"/>
      <c r="N16" s="417"/>
      <c r="O16" s="417"/>
      <c r="P16" s="417"/>
      <c r="Q16" s="417"/>
    </row>
    <row r="17" spans="3:17" x14ac:dyDescent="0.35">
      <c r="C17" s="109" t="s">
        <v>646</v>
      </c>
      <c r="D17" s="134" t="str">
        <f>"THIS PROPERTY IS "&amp;IF(D7="Sunshine Place",VLOOKUP(D8,'Price List'!A139:M154,13,0),IF(D7="Woodmore Spring",VLOOKUP(D8,'Price List'!A155:M165,13,0),IF(D7="West Parc",VLOOKUP(D8,'Price List'!A166:M194,13,0),IF(D7="The Meridien",VLOOKUP(D8,'Price List'!A195:M202,13,0),IF(D7="The Arborage",VLOOKUP(D8,'Price List'!A12:M138,13,0),IF(D7="Prominence II",VLOOKUP(D8,'Price List'!A203:M221,13,0),"N/A"))))))</f>
        <v>THIS PROPERTY IS AVAILABLE</v>
      </c>
      <c r="E17" s="235"/>
      <c r="F17" s="235"/>
      <c r="G17" s="422"/>
      <c r="H17" s="417"/>
      <c r="I17" s="417"/>
      <c r="J17" s="417"/>
      <c r="K17" s="417"/>
      <c r="L17" s="417"/>
      <c r="M17" s="417"/>
      <c r="N17" s="417"/>
      <c r="O17" s="417"/>
      <c r="P17" s="417"/>
      <c r="Q17" s="417"/>
    </row>
    <row r="18" spans="3:17" x14ac:dyDescent="0.35">
      <c r="D18" s="171" t="s">
        <v>673</v>
      </c>
      <c r="E18" s="235"/>
      <c r="F18" s="235"/>
      <c r="G18" s="417"/>
      <c r="H18" s="417"/>
      <c r="I18" s="417"/>
      <c r="J18" s="417"/>
      <c r="K18" s="417"/>
      <c r="L18" s="417"/>
      <c r="M18" s="417"/>
      <c r="N18" s="417"/>
      <c r="O18" s="417"/>
      <c r="P18" s="417"/>
      <c r="Q18" s="417"/>
    </row>
    <row r="19" spans="3:17" s="110" customFormat="1" x14ac:dyDescent="0.35">
      <c r="D19" s="134"/>
      <c r="E19" s="186"/>
      <c r="F19" s="186"/>
    </row>
    <row r="20" spans="3:17" s="248" customFormat="1" x14ac:dyDescent="0.35">
      <c r="C20" s="248" t="s">
        <v>922</v>
      </c>
      <c r="D20" s="419" t="s">
        <v>923</v>
      </c>
      <c r="E20" s="182"/>
      <c r="F20" s="182"/>
    </row>
    <row r="21" spans="3:17" s="248" customFormat="1" x14ac:dyDescent="0.35">
      <c r="C21" s="248" t="s">
        <v>786</v>
      </c>
      <c r="D21" s="419" t="s">
        <v>852</v>
      </c>
      <c r="E21" s="419"/>
      <c r="F21" s="182"/>
    </row>
    <row r="22" spans="3:17" s="248" customFormat="1" x14ac:dyDescent="0.35">
      <c r="C22" s="248" t="s">
        <v>787</v>
      </c>
      <c r="D22" s="419" t="s">
        <v>853</v>
      </c>
      <c r="E22" s="182"/>
      <c r="F22" s="182"/>
    </row>
    <row r="23" spans="3:17" s="248" customFormat="1" x14ac:dyDescent="0.35">
      <c r="C23" s="248" t="s">
        <v>788</v>
      </c>
      <c r="D23" s="419" t="s">
        <v>854</v>
      </c>
      <c r="E23" s="182"/>
      <c r="F23" s="182"/>
    </row>
    <row r="24" spans="3:17" s="248" customFormat="1" x14ac:dyDescent="0.35">
      <c r="C24" s="248" t="s">
        <v>789</v>
      </c>
      <c r="D24" s="419" t="s">
        <v>855</v>
      </c>
      <c r="E24" s="182"/>
      <c r="F24" s="182"/>
    </row>
    <row r="25" spans="3:17" s="248" customFormat="1" x14ac:dyDescent="0.35">
      <c r="C25" s="248" t="s">
        <v>790</v>
      </c>
      <c r="D25" s="419" t="s">
        <v>856</v>
      </c>
      <c r="E25" s="182"/>
      <c r="F25" s="182"/>
    </row>
    <row r="26" spans="3:17" s="248" customFormat="1" x14ac:dyDescent="0.35">
      <c r="C26" s="248" t="s">
        <v>791</v>
      </c>
      <c r="D26" s="419" t="s">
        <v>857</v>
      </c>
      <c r="E26" s="182"/>
      <c r="F26" s="182"/>
    </row>
    <row r="27" spans="3:17" s="248" customFormat="1" x14ac:dyDescent="0.35">
      <c r="C27" s="248" t="s">
        <v>792</v>
      </c>
      <c r="D27" s="419" t="s">
        <v>858</v>
      </c>
      <c r="E27" s="182"/>
      <c r="F27" s="182"/>
    </row>
    <row r="28" spans="3:17" s="248" customFormat="1" x14ac:dyDescent="0.35">
      <c r="C28" s="248" t="s">
        <v>793</v>
      </c>
      <c r="D28" s="419" t="s">
        <v>859</v>
      </c>
      <c r="E28" s="182"/>
      <c r="F28" s="182"/>
    </row>
    <row r="29" spans="3:17" s="248" customFormat="1" x14ac:dyDescent="0.35">
      <c r="C29" s="248" t="s">
        <v>794</v>
      </c>
      <c r="D29" s="419" t="s">
        <v>860</v>
      </c>
      <c r="E29" s="182"/>
      <c r="F29" s="182"/>
    </row>
    <row r="30" spans="3:17" s="248" customFormat="1" x14ac:dyDescent="0.35">
      <c r="C30" s="248" t="s">
        <v>795</v>
      </c>
      <c r="D30" s="419" t="s">
        <v>861</v>
      </c>
      <c r="E30" s="182"/>
      <c r="F30" s="182"/>
    </row>
    <row r="31" spans="3:17" s="248" customFormat="1" x14ac:dyDescent="0.35">
      <c r="C31" s="248" t="s">
        <v>796</v>
      </c>
      <c r="D31" s="419" t="s">
        <v>862</v>
      </c>
      <c r="E31" s="182"/>
      <c r="F31" s="182"/>
    </row>
    <row r="32" spans="3:17" s="248" customFormat="1" x14ac:dyDescent="0.35">
      <c r="C32" s="248" t="s">
        <v>797</v>
      </c>
      <c r="D32" s="419" t="s">
        <v>863</v>
      </c>
      <c r="E32" s="182"/>
      <c r="F32" s="182"/>
    </row>
    <row r="33" spans="3:6" s="248" customFormat="1" x14ac:dyDescent="0.35">
      <c r="C33" s="248" t="s">
        <v>798</v>
      </c>
      <c r="D33" s="419" t="s">
        <v>864</v>
      </c>
      <c r="E33" s="182"/>
      <c r="F33" s="182"/>
    </row>
    <row r="34" spans="3:6" s="248" customFormat="1" x14ac:dyDescent="0.35">
      <c r="C34" s="248" t="s">
        <v>799</v>
      </c>
      <c r="D34" s="419" t="s">
        <v>866</v>
      </c>
      <c r="E34" s="182"/>
      <c r="F34" s="182"/>
    </row>
    <row r="35" spans="3:6" s="248" customFormat="1" x14ac:dyDescent="0.35">
      <c r="C35" s="248" t="s">
        <v>800</v>
      </c>
      <c r="D35" s="419" t="s">
        <v>868</v>
      </c>
      <c r="E35" s="182"/>
      <c r="F35" s="182"/>
    </row>
    <row r="36" spans="3:6" s="248" customFormat="1" x14ac:dyDescent="0.35">
      <c r="C36" s="248" t="s">
        <v>801</v>
      </c>
      <c r="D36" s="419" t="s">
        <v>869</v>
      </c>
      <c r="E36" s="182"/>
      <c r="F36" s="182"/>
    </row>
    <row r="37" spans="3:6" s="248" customFormat="1" x14ac:dyDescent="0.35">
      <c r="C37" s="248" t="s">
        <v>802</v>
      </c>
      <c r="D37" s="419" t="s">
        <v>870</v>
      </c>
      <c r="E37" s="182"/>
      <c r="F37" s="182"/>
    </row>
    <row r="38" spans="3:6" s="248" customFormat="1" x14ac:dyDescent="0.35">
      <c r="C38" s="248" t="s">
        <v>803</v>
      </c>
      <c r="D38" s="419" t="s">
        <v>871</v>
      </c>
      <c r="E38" s="182"/>
      <c r="F38" s="182"/>
    </row>
    <row r="39" spans="3:6" s="248" customFormat="1" x14ac:dyDescent="0.35">
      <c r="C39" s="248" t="s">
        <v>804</v>
      </c>
      <c r="D39" s="419" t="s">
        <v>872</v>
      </c>
      <c r="E39" s="182"/>
      <c r="F39" s="182"/>
    </row>
    <row r="40" spans="3:6" s="248" customFormat="1" x14ac:dyDescent="0.35">
      <c r="C40" s="248" t="s">
        <v>805</v>
      </c>
      <c r="D40" s="419" t="s">
        <v>874</v>
      </c>
      <c r="E40" s="182"/>
      <c r="F40" s="182"/>
    </row>
    <row r="41" spans="3:6" s="248" customFormat="1" x14ac:dyDescent="0.35">
      <c r="C41" s="248" t="s">
        <v>806</v>
      </c>
      <c r="D41" s="419" t="s">
        <v>828</v>
      </c>
      <c r="E41" s="182"/>
      <c r="F41" s="182"/>
    </row>
    <row r="42" spans="3:6" s="248" customFormat="1" x14ac:dyDescent="0.35">
      <c r="C42" s="248" t="s">
        <v>807</v>
      </c>
      <c r="D42" s="419" t="s">
        <v>830</v>
      </c>
      <c r="E42" s="182"/>
      <c r="F42" s="182"/>
    </row>
    <row r="43" spans="3:6" s="248" customFormat="1" x14ac:dyDescent="0.35">
      <c r="C43" s="248" t="s">
        <v>808</v>
      </c>
      <c r="D43" s="419" t="s">
        <v>875</v>
      </c>
      <c r="E43" s="182"/>
      <c r="F43" s="182"/>
    </row>
    <row r="44" spans="3:6" s="248" customFormat="1" x14ac:dyDescent="0.35">
      <c r="C44" s="248" t="s">
        <v>809</v>
      </c>
      <c r="D44" s="419" t="s">
        <v>876</v>
      </c>
      <c r="E44" s="182"/>
      <c r="F44" s="182"/>
    </row>
    <row r="45" spans="3:6" s="248" customFormat="1" x14ac:dyDescent="0.35">
      <c r="C45" s="248" t="s">
        <v>810</v>
      </c>
      <c r="D45" s="419" t="s">
        <v>877</v>
      </c>
      <c r="E45" s="182"/>
      <c r="F45" s="182"/>
    </row>
    <row r="46" spans="3:6" s="248" customFormat="1" x14ac:dyDescent="0.35">
      <c r="C46" s="248" t="s">
        <v>811</v>
      </c>
      <c r="D46" s="419" t="s">
        <v>878</v>
      </c>
      <c r="E46" s="182"/>
      <c r="F46" s="182"/>
    </row>
    <row r="47" spans="3:6" s="248" customFormat="1" x14ac:dyDescent="0.35">
      <c r="C47" s="248" t="s">
        <v>849</v>
      </c>
      <c r="D47" s="419" t="s">
        <v>879</v>
      </c>
      <c r="E47" s="182"/>
      <c r="F47" s="182"/>
    </row>
    <row r="48" spans="3:6" s="248" customFormat="1" x14ac:dyDescent="0.35">
      <c r="C48" s="248" t="s">
        <v>850</v>
      </c>
      <c r="D48" s="419" t="s">
        <v>880</v>
      </c>
      <c r="E48" s="182"/>
      <c r="F48" s="182"/>
    </row>
    <row r="49" spans="3:6" s="248" customFormat="1" x14ac:dyDescent="0.35">
      <c r="C49" s="248" t="s">
        <v>821</v>
      </c>
      <c r="D49" s="419" t="s">
        <v>881</v>
      </c>
      <c r="E49" s="182"/>
      <c r="F49" s="182"/>
    </row>
    <row r="50" spans="3:6" s="248" customFormat="1" x14ac:dyDescent="0.35">
      <c r="C50" s="248" t="s">
        <v>822</v>
      </c>
      <c r="D50" s="419" t="s">
        <v>882</v>
      </c>
      <c r="E50" s="182"/>
      <c r="F50" s="182"/>
    </row>
    <row r="51" spans="3:6" s="248" customFormat="1" x14ac:dyDescent="0.35">
      <c r="C51" s="248" t="s">
        <v>823</v>
      </c>
      <c r="D51" s="419" t="s">
        <v>883</v>
      </c>
      <c r="E51" s="182"/>
      <c r="F51" s="182"/>
    </row>
    <row r="52" spans="3:6" s="248" customFormat="1" x14ac:dyDescent="0.35">
      <c r="C52" s="248" t="s">
        <v>824</v>
      </c>
      <c r="D52" s="419" t="s">
        <v>884</v>
      </c>
      <c r="E52" s="182"/>
      <c r="F52" s="182"/>
    </row>
    <row r="53" spans="3:6" s="248" customFormat="1" x14ac:dyDescent="0.35">
      <c r="C53" s="248" t="s">
        <v>825</v>
      </c>
      <c r="D53" s="419" t="s">
        <v>885</v>
      </c>
      <c r="E53" s="182"/>
      <c r="F53" s="182"/>
    </row>
    <row r="54" spans="3:6" s="248" customFormat="1" x14ac:dyDescent="0.35">
      <c r="C54" s="248" t="s">
        <v>873</v>
      </c>
      <c r="D54" s="419" t="s">
        <v>886</v>
      </c>
      <c r="E54" s="182"/>
      <c r="F54" s="182"/>
    </row>
    <row r="55" spans="3:6" s="248" customFormat="1" x14ac:dyDescent="0.35">
      <c r="C55" s="248" t="s">
        <v>827</v>
      </c>
      <c r="D55" s="419" t="s">
        <v>887</v>
      </c>
      <c r="E55" s="182"/>
      <c r="F55" s="182"/>
    </row>
    <row r="56" spans="3:6" s="248" customFormat="1" x14ac:dyDescent="0.35">
      <c r="C56" s="248" t="s">
        <v>831</v>
      </c>
      <c r="D56" s="419" t="s">
        <v>844</v>
      </c>
      <c r="E56" s="182"/>
      <c r="F56" s="182"/>
    </row>
    <row r="57" spans="3:6" s="248" customFormat="1" x14ac:dyDescent="0.35">
      <c r="C57" s="248" t="s">
        <v>832</v>
      </c>
      <c r="D57" s="419" t="s">
        <v>848</v>
      </c>
      <c r="E57" s="182"/>
      <c r="F57" s="182"/>
    </row>
    <row r="58" spans="3:6" s="248" customFormat="1" x14ac:dyDescent="0.35">
      <c r="C58" s="248" t="s">
        <v>833</v>
      </c>
      <c r="D58" s="419" t="s">
        <v>888</v>
      </c>
      <c r="E58" s="182"/>
      <c r="F58" s="182"/>
    </row>
    <row r="59" spans="3:6" s="248" customFormat="1" x14ac:dyDescent="0.35">
      <c r="C59" s="248" t="s">
        <v>834</v>
      </c>
      <c r="D59" s="419" t="s">
        <v>846</v>
      </c>
      <c r="E59" s="182"/>
      <c r="F59" s="182"/>
    </row>
    <row r="60" spans="3:6" s="248" customFormat="1" x14ac:dyDescent="0.35">
      <c r="C60" s="248" t="s">
        <v>826</v>
      </c>
      <c r="D60" s="419" t="s">
        <v>889</v>
      </c>
      <c r="E60" s="182"/>
      <c r="F60" s="182"/>
    </row>
    <row r="61" spans="3:6" s="248" customFormat="1" x14ac:dyDescent="0.35">
      <c r="C61" s="248" t="s">
        <v>851</v>
      </c>
      <c r="D61" s="419" t="s">
        <v>890</v>
      </c>
      <c r="E61" s="182"/>
      <c r="F61" s="182"/>
    </row>
    <row r="62" spans="3:6" s="248" customFormat="1" x14ac:dyDescent="0.35">
      <c r="C62" s="248" t="s">
        <v>836</v>
      </c>
      <c r="D62" s="419"/>
      <c r="E62" s="182"/>
      <c r="F62" s="182"/>
    </row>
    <row r="63" spans="3:6" s="248" customFormat="1" x14ac:dyDescent="0.35">
      <c r="C63" s="248" t="s">
        <v>837</v>
      </c>
      <c r="E63" s="182"/>
      <c r="F63" s="182"/>
    </row>
    <row r="64" spans="3:6" s="248" customFormat="1" x14ac:dyDescent="0.35">
      <c r="C64" s="248" t="s">
        <v>838</v>
      </c>
      <c r="E64" s="182"/>
      <c r="F64" s="182"/>
    </row>
    <row r="65" spans="3:6" s="248" customFormat="1" x14ac:dyDescent="0.35">
      <c r="C65" s="248" t="s">
        <v>839</v>
      </c>
      <c r="E65" s="182"/>
      <c r="F65" s="182"/>
    </row>
    <row r="66" spans="3:6" s="248" customFormat="1" x14ac:dyDescent="0.35">
      <c r="C66" s="248" t="s">
        <v>840</v>
      </c>
      <c r="E66" s="182"/>
      <c r="F66" s="182"/>
    </row>
    <row r="67" spans="3:6" s="248" customFormat="1" x14ac:dyDescent="0.35">
      <c r="C67" s="248" t="s">
        <v>841</v>
      </c>
      <c r="E67" s="182"/>
      <c r="F67" s="182"/>
    </row>
    <row r="68" spans="3:6" s="248" customFormat="1" x14ac:dyDescent="0.35">
      <c r="C68" s="248" t="s">
        <v>835</v>
      </c>
      <c r="E68" s="182"/>
      <c r="F68" s="182"/>
    </row>
    <row r="69" spans="3:6" s="248" customFormat="1" x14ac:dyDescent="0.35">
      <c r="C69" s="248" t="s">
        <v>842</v>
      </c>
      <c r="E69" s="182"/>
      <c r="F69" s="182"/>
    </row>
    <row r="70" spans="3:6" s="248" customFormat="1" x14ac:dyDescent="0.35">
      <c r="C70" s="248" t="s">
        <v>843</v>
      </c>
      <c r="E70" s="182"/>
      <c r="F70" s="182"/>
    </row>
    <row r="71" spans="3:6" s="248" customFormat="1" x14ac:dyDescent="0.35">
      <c r="C71" s="248" t="s">
        <v>845</v>
      </c>
      <c r="E71" s="182"/>
      <c r="F71" s="182"/>
    </row>
    <row r="72" spans="3:6" s="248" customFormat="1" x14ac:dyDescent="0.35">
      <c r="C72" s="248" t="s">
        <v>846</v>
      </c>
      <c r="E72" s="182"/>
      <c r="F72" s="182"/>
    </row>
    <row r="73" spans="3:6" s="248" customFormat="1" x14ac:dyDescent="0.35">
      <c r="C73" s="248" t="s">
        <v>847</v>
      </c>
      <c r="E73" s="182"/>
      <c r="F73" s="182"/>
    </row>
    <row r="74" spans="3:6" s="248" customFormat="1" x14ac:dyDescent="0.35">
      <c r="C74" s="248" t="s">
        <v>891</v>
      </c>
      <c r="E74" s="182"/>
      <c r="F74" s="182"/>
    </row>
    <row r="75" spans="3:6" s="110" customFormat="1" x14ac:dyDescent="0.35">
      <c r="E75" s="186"/>
      <c r="F75" s="186"/>
    </row>
    <row r="76" spans="3:6" s="110" customFormat="1" x14ac:dyDescent="0.35">
      <c r="E76" s="186"/>
      <c r="F76" s="186"/>
    </row>
    <row r="77" spans="3:6" s="110" customFormat="1" x14ac:dyDescent="0.35">
      <c r="E77" s="186"/>
      <c r="F77" s="186"/>
    </row>
    <row r="78" spans="3:6" s="110" customFormat="1" x14ac:dyDescent="0.35">
      <c r="E78" s="186"/>
      <c r="F78" s="186"/>
    </row>
    <row r="79" spans="3:6" s="110" customFormat="1" x14ac:dyDescent="0.35">
      <c r="E79" s="186"/>
      <c r="F79" s="186"/>
    </row>
    <row r="80" spans="3:6" s="110" customFormat="1" x14ac:dyDescent="0.35">
      <c r="E80" s="186"/>
      <c r="F80" s="186"/>
    </row>
    <row r="81" spans="4:6" s="110" customFormat="1" x14ac:dyDescent="0.35">
      <c r="E81" s="186"/>
      <c r="F81" s="186"/>
    </row>
    <row r="82" spans="4:6" s="110" customFormat="1" x14ac:dyDescent="0.35">
      <c r="E82" s="186"/>
      <c r="F82" s="186"/>
    </row>
    <row r="83" spans="4:6" s="110" customFormat="1" x14ac:dyDescent="0.35">
      <c r="E83" s="186"/>
      <c r="F83" s="186"/>
    </row>
    <row r="84" spans="4:6" s="110" customFormat="1" x14ac:dyDescent="0.35">
      <c r="E84" s="186"/>
      <c r="F84" s="186"/>
    </row>
    <row r="85" spans="4:6" s="110" customFormat="1" x14ac:dyDescent="0.35">
      <c r="E85" s="186"/>
      <c r="F85" s="186"/>
    </row>
    <row r="86" spans="4:6" s="110" customFormat="1" x14ac:dyDescent="0.35">
      <c r="E86" s="186"/>
      <c r="F86" s="186"/>
    </row>
    <row r="87" spans="4:6" s="110" customFormat="1" x14ac:dyDescent="0.35">
      <c r="E87" s="186"/>
      <c r="F87" s="186"/>
    </row>
    <row r="88" spans="4:6" s="110" customFormat="1" x14ac:dyDescent="0.35">
      <c r="E88" s="186"/>
      <c r="F88" s="186"/>
    </row>
    <row r="89" spans="4:6" s="110" customFormat="1" x14ac:dyDescent="0.35">
      <c r="D89" s="450"/>
      <c r="E89" s="186"/>
      <c r="F89" s="186"/>
    </row>
    <row r="90" spans="4:6" s="110" customFormat="1" x14ac:dyDescent="0.35">
      <c r="D90" s="450"/>
      <c r="E90" s="186"/>
      <c r="F90" s="186"/>
    </row>
    <row r="91" spans="4:6" s="110" customFormat="1" x14ac:dyDescent="0.35">
      <c r="D91" s="450"/>
      <c r="E91" s="186"/>
      <c r="F91" s="186"/>
    </row>
    <row r="92" spans="4:6" s="110" customFormat="1" x14ac:dyDescent="0.35">
      <c r="D92" s="450"/>
      <c r="E92" s="186"/>
      <c r="F92" s="186"/>
    </row>
    <row r="93" spans="4:6" s="110" customFormat="1" x14ac:dyDescent="0.35">
      <c r="D93" s="450"/>
      <c r="E93" s="186"/>
      <c r="F93" s="186"/>
    </row>
    <row r="94" spans="4:6" s="110" customFormat="1" x14ac:dyDescent="0.35">
      <c r="D94" s="450"/>
      <c r="E94" s="186"/>
      <c r="F94" s="186"/>
    </row>
    <row r="95" spans="4:6" s="110" customFormat="1" x14ac:dyDescent="0.35">
      <c r="D95" s="450"/>
      <c r="E95" s="186"/>
      <c r="F95" s="186"/>
    </row>
    <row r="96" spans="4:6" s="110" customFormat="1" x14ac:dyDescent="0.35">
      <c r="D96" s="450"/>
      <c r="E96" s="186"/>
      <c r="F96" s="186"/>
    </row>
    <row r="97" spans="4:6" s="110" customFormat="1" x14ac:dyDescent="0.35">
      <c r="D97" s="450"/>
      <c r="E97" s="186"/>
      <c r="F97" s="186"/>
    </row>
    <row r="98" spans="4:6" s="110" customFormat="1" x14ac:dyDescent="0.35">
      <c r="D98" s="450"/>
      <c r="E98" s="186"/>
      <c r="F98" s="186"/>
    </row>
    <row r="99" spans="4:6" s="110" customFormat="1" x14ac:dyDescent="0.35">
      <c r="D99" s="450"/>
      <c r="E99" s="186"/>
      <c r="F99" s="186"/>
    </row>
    <row r="100" spans="4:6" s="110" customFormat="1" x14ac:dyDescent="0.35">
      <c r="D100" s="450"/>
      <c r="E100" s="186"/>
      <c r="F100" s="186"/>
    </row>
    <row r="101" spans="4:6" s="110" customFormat="1" x14ac:dyDescent="0.35">
      <c r="D101" s="450"/>
      <c r="E101" s="186"/>
      <c r="F101" s="186"/>
    </row>
    <row r="102" spans="4:6" s="110" customFormat="1" x14ac:dyDescent="0.35">
      <c r="D102" s="450"/>
      <c r="E102" s="186"/>
      <c r="F102" s="186"/>
    </row>
    <row r="103" spans="4:6" s="110" customFormat="1" x14ac:dyDescent="0.35">
      <c r="D103" s="450"/>
      <c r="E103" s="186"/>
      <c r="F103" s="186"/>
    </row>
    <row r="104" spans="4:6" s="110" customFormat="1" x14ac:dyDescent="0.35">
      <c r="D104" s="450"/>
      <c r="E104" s="186"/>
      <c r="F104" s="186"/>
    </row>
    <row r="105" spans="4:6" s="110" customFormat="1" x14ac:dyDescent="0.35">
      <c r="D105" s="450"/>
      <c r="E105" s="186"/>
      <c r="F105" s="186"/>
    </row>
    <row r="106" spans="4:6" s="110" customFormat="1" x14ac:dyDescent="0.35">
      <c r="D106" s="450"/>
      <c r="E106" s="186"/>
      <c r="F106" s="186"/>
    </row>
    <row r="107" spans="4:6" s="110" customFormat="1" x14ac:dyDescent="0.35">
      <c r="D107" s="450"/>
      <c r="E107" s="186"/>
      <c r="F107" s="186"/>
    </row>
    <row r="108" spans="4:6" s="110" customFormat="1" x14ac:dyDescent="0.35">
      <c r="D108" s="450"/>
      <c r="E108" s="186"/>
      <c r="F108" s="186"/>
    </row>
    <row r="109" spans="4:6" s="110" customFormat="1" x14ac:dyDescent="0.35">
      <c r="D109" s="450"/>
      <c r="E109" s="186"/>
      <c r="F109" s="186"/>
    </row>
    <row r="110" spans="4:6" s="110" customFormat="1" x14ac:dyDescent="0.35">
      <c r="D110" s="450"/>
      <c r="E110" s="186"/>
      <c r="F110" s="186"/>
    </row>
    <row r="111" spans="4:6" s="110" customFormat="1" x14ac:dyDescent="0.35">
      <c r="D111" s="450"/>
      <c r="E111" s="186"/>
      <c r="F111" s="186"/>
    </row>
    <row r="112" spans="4:6" s="110" customFormat="1" x14ac:dyDescent="0.35">
      <c r="D112" s="450"/>
      <c r="E112" s="186"/>
      <c r="F112" s="186"/>
    </row>
    <row r="113" spans="4:6" s="110" customFormat="1" x14ac:dyDescent="0.35">
      <c r="D113" s="450"/>
      <c r="E113" s="186"/>
      <c r="F113" s="186"/>
    </row>
    <row r="114" spans="4:6" s="110" customFormat="1" x14ac:dyDescent="0.35">
      <c r="D114" s="450"/>
      <c r="E114" s="186"/>
      <c r="F114" s="186"/>
    </row>
    <row r="115" spans="4:6" s="110" customFormat="1" x14ac:dyDescent="0.35">
      <c r="D115" s="450"/>
      <c r="E115" s="186"/>
      <c r="F115" s="186"/>
    </row>
    <row r="116" spans="4:6" s="110" customFormat="1" x14ac:dyDescent="0.35">
      <c r="D116" s="450"/>
      <c r="E116" s="186"/>
      <c r="F116" s="186"/>
    </row>
    <row r="117" spans="4:6" s="110" customFormat="1" x14ac:dyDescent="0.35">
      <c r="D117" s="450"/>
      <c r="E117" s="186"/>
      <c r="F117" s="186"/>
    </row>
    <row r="118" spans="4:6" s="110" customFormat="1" x14ac:dyDescent="0.35">
      <c r="D118" s="450"/>
      <c r="E118" s="186"/>
      <c r="F118" s="186"/>
    </row>
    <row r="119" spans="4:6" s="110" customFormat="1" x14ac:dyDescent="0.35">
      <c r="D119" s="450"/>
      <c r="E119" s="186"/>
      <c r="F119" s="186"/>
    </row>
    <row r="120" spans="4:6" s="110" customFormat="1" x14ac:dyDescent="0.35">
      <c r="D120" s="450"/>
      <c r="E120" s="186"/>
      <c r="F120" s="186"/>
    </row>
    <row r="121" spans="4:6" s="110" customFormat="1" x14ac:dyDescent="0.35">
      <c r="D121" s="450"/>
      <c r="E121" s="186"/>
      <c r="F121" s="186"/>
    </row>
    <row r="122" spans="4:6" s="110" customFormat="1" x14ac:dyDescent="0.35">
      <c r="D122" s="450"/>
      <c r="E122" s="186"/>
      <c r="F122" s="186"/>
    </row>
    <row r="123" spans="4:6" s="110" customFormat="1" x14ac:dyDescent="0.35">
      <c r="D123" s="450"/>
      <c r="E123" s="186"/>
      <c r="F123" s="186"/>
    </row>
    <row r="124" spans="4:6" s="110" customFormat="1" x14ac:dyDescent="0.35">
      <c r="D124" s="450"/>
      <c r="E124" s="186"/>
      <c r="F124" s="186"/>
    </row>
    <row r="125" spans="4:6" s="110" customFormat="1" x14ac:dyDescent="0.35">
      <c r="D125" s="450"/>
      <c r="E125" s="186"/>
      <c r="F125" s="186"/>
    </row>
    <row r="126" spans="4:6" s="110" customFormat="1" x14ac:dyDescent="0.35">
      <c r="D126" s="450"/>
      <c r="E126" s="186"/>
      <c r="F126" s="186"/>
    </row>
    <row r="127" spans="4:6" s="110" customFormat="1" x14ac:dyDescent="0.35">
      <c r="D127" s="450"/>
      <c r="E127" s="186"/>
      <c r="F127" s="186"/>
    </row>
    <row r="128" spans="4:6" s="110" customFormat="1" x14ac:dyDescent="0.35">
      <c r="D128" s="450"/>
      <c r="E128" s="186"/>
      <c r="F128" s="186"/>
    </row>
    <row r="129" spans="4:6" s="110" customFormat="1" x14ac:dyDescent="0.35">
      <c r="D129" s="450"/>
      <c r="E129" s="186"/>
      <c r="F129" s="186"/>
    </row>
    <row r="130" spans="4:6" s="110" customFormat="1" x14ac:dyDescent="0.35">
      <c r="D130" s="450"/>
      <c r="E130" s="186"/>
      <c r="F130" s="186"/>
    </row>
    <row r="131" spans="4:6" s="110" customFormat="1" x14ac:dyDescent="0.35">
      <c r="D131" s="450"/>
      <c r="E131" s="186"/>
      <c r="F131" s="186"/>
    </row>
    <row r="132" spans="4:6" s="110" customFormat="1" x14ac:dyDescent="0.35">
      <c r="D132" s="450"/>
      <c r="E132" s="186"/>
      <c r="F132" s="186"/>
    </row>
    <row r="133" spans="4:6" s="110" customFormat="1" x14ac:dyDescent="0.35">
      <c r="D133" s="450"/>
      <c r="E133" s="186"/>
      <c r="F133" s="186"/>
    </row>
    <row r="134" spans="4:6" s="110" customFormat="1" x14ac:dyDescent="0.35">
      <c r="D134" s="450"/>
      <c r="E134" s="186"/>
      <c r="F134" s="186"/>
    </row>
    <row r="135" spans="4:6" s="110" customFormat="1" x14ac:dyDescent="0.35">
      <c r="D135" s="450"/>
      <c r="E135" s="186"/>
      <c r="F135" s="186"/>
    </row>
    <row r="136" spans="4:6" s="110" customFormat="1" x14ac:dyDescent="0.35">
      <c r="D136" s="450"/>
      <c r="E136" s="186"/>
      <c r="F136" s="186"/>
    </row>
    <row r="137" spans="4:6" s="110" customFormat="1" x14ac:dyDescent="0.35">
      <c r="D137" s="450"/>
      <c r="E137" s="186"/>
      <c r="F137" s="186"/>
    </row>
    <row r="138" spans="4:6" s="110" customFormat="1" x14ac:dyDescent="0.35">
      <c r="D138" s="450"/>
      <c r="E138" s="186"/>
      <c r="F138" s="186"/>
    </row>
    <row r="139" spans="4:6" s="110" customFormat="1" x14ac:dyDescent="0.35">
      <c r="D139" s="450"/>
      <c r="E139" s="186"/>
      <c r="F139" s="186"/>
    </row>
    <row r="140" spans="4:6" s="110" customFormat="1" x14ac:dyDescent="0.35">
      <c r="D140" s="450"/>
      <c r="E140" s="186"/>
      <c r="F140" s="186"/>
    </row>
    <row r="141" spans="4:6" s="110" customFormat="1" x14ac:dyDescent="0.35">
      <c r="D141" s="450"/>
      <c r="E141" s="186"/>
      <c r="F141" s="186"/>
    </row>
    <row r="142" spans="4:6" s="110" customFormat="1" x14ac:dyDescent="0.35">
      <c r="D142" s="450"/>
      <c r="E142" s="186"/>
      <c r="F142" s="186"/>
    </row>
    <row r="143" spans="4:6" s="110" customFormat="1" x14ac:dyDescent="0.35">
      <c r="D143" s="450"/>
      <c r="E143" s="186"/>
      <c r="F143" s="186"/>
    </row>
    <row r="144" spans="4:6" s="110" customFormat="1" x14ac:dyDescent="0.35">
      <c r="D144" s="450"/>
      <c r="E144" s="186"/>
      <c r="F144" s="186"/>
    </row>
    <row r="145" spans="4:6" s="110" customFormat="1" x14ac:dyDescent="0.35">
      <c r="D145" s="450"/>
      <c r="E145" s="186"/>
      <c r="F145" s="186"/>
    </row>
    <row r="146" spans="4:6" s="110" customFormat="1" x14ac:dyDescent="0.35">
      <c r="D146" s="450"/>
      <c r="E146" s="186"/>
      <c r="F146" s="186"/>
    </row>
    <row r="147" spans="4:6" s="110" customFormat="1" x14ac:dyDescent="0.35">
      <c r="D147" s="450"/>
      <c r="E147" s="186"/>
      <c r="F147" s="186"/>
    </row>
    <row r="148" spans="4:6" s="110" customFormat="1" x14ac:dyDescent="0.35">
      <c r="D148" s="450"/>
      <c r="E148" s="186"/>
      <c r="F148" s="186"/>
    </row>
    <row r="149" spans="4:6" s="110" customFormat="1" x14ac:dyDescent="0.35">
      <c r="D149" s="450"/>
      <c r="E149" s="186"/>
      <c r="F149" s="186"/>
    </row>
    <row r="150" spans="4:6" s="110" customFormat="1" x14ac:dyDescent="0.35">
      <c r="D150" s="450"/>
      <c r="E150" s="186"/>
      <c r="F150" s="186"/>
    </row>
    <row r="151" spans="4:6" s="110" customFormat="1" x14ac:dyDescent="0.35">
      <c r="D151" s="450"/>
      <c r="E151" s="186"/>
      <c r="F151" s="186"/>
    </row>
    <row r="152" spans="4:6" s="110" customFormat="1" x14ac:dyDescent="0.35">
      <c r="D152" s="450"/>
      <c r="E152" s="186"/>
      <c r="F152" s="186"/>
    </row>
    <row r="153" spans="4:6" s="110" customFormat="1" x14ac:dyDescent="0.35">
      <c r="D153" s="450"/>
      <c r="E153" s="186"/>
      <c r="F153" s="186"/>
    </row>
    <row r="154" spans="4:6" s="110" customFormat="1" x14ac:dyDescent="0.35">
      <c r="D154" s="450"/>
      <c r="E154" s="186"/>
      <c r="F154" s="186"/>
    </row>
    <row r="155" spans="4:6" s="110" customFormat="1" x14ac:dyDescent="0.35">
      <c r="D155" s="450"/>
      <c r="E155" s="186"/>
      <c r="F155" s="186"/>
    </row>
    <row r="156" spans="4:6" s="110" customFormat="1" x14ac:dyDescent="0.35">
      <c r="D156" s="450"/>
      <c r="E156" s="186"/>
      <c r="F156" s="186"/>
    </row>
    <row r="157" spans="4:6" s="110" customFormat="1" x14ac:dyDescent="0.35">
      <c r="D157" s="450"/>
      <c r="E157" s="186"/>
      <c r="F157" s="186"/>
    </row>
    <row r="158" spans="4:6" s="110" customFormat="1" x14ac:dyDescent="0.35">
      <c r="D158" s="450"/>
      <c r="E158" s="186"/>
      <c r="F158" s="186"/>
    </row>
    <row r="159" spans="4:6" s="110" customFormat="1" x14ac:dyDescent="0.35">
      <c r="D159" s="450"/>
      <c r="E159" s="186"/>
      <c r="F159" s="186"/>
    </row>
    <row r="160" spans="4:6" s="110" customFormat="1" x14ac:dyDescent="0.35">
      <c r="D160" s="450"/>
      <c r="E160" s="186"/>
      <c r="F160" s="186"/>
    </row>
    <row r="161" spans="4:6" s="110" customFormat="1" x14ac:dyDescent="0.35">
      <c r="D161" s="450"/>
      <c r="E161" s="186"/>
      <c r="F161" s="186"/>
    </row>
    <row r="162" spans="4:6" s="110" customFormat="1" x14ac:dyDescent="0.35">
      <c r="D162" s="450"/>
      <c r="E162" s="186"/>
      <c r="F162" s="186"/>
    </row>
    <row r="163" spans="4:6" s="110" customFormat="1" x14ac:dyDescent="0.35">
      <c r="D163" s="450"/>
      <c r="E163" s="186"/>
      <c r="F163" s="186"/>
    </row>
    <row r="164" spans="4:6" s="110" customFormat="1" x14ac:dyDescent="0.35">
      <c r="D164" s="450"/>
      <c r="E164" s="186"/>
      <c r="F164" s="186"/>
    </row>
    <row r="165" spans="4:6" s="110" customFormat="1" x14ac:dyDescent="0.35">
      <c r="D165" s="450"/>
      <c r="E165" s="186"/>
      <c r="F165" s="186"/>
    </row>
    <row r="166" spans="4:6" s="110" customFormat="1" x14ac:dyDescent="0.35">
      <c r="D166" s="450"/>
      <c r="E166" s="186"/>
      <c r="F166" s="186"/>
    </row>
    <row r="167" spans="4:6" s="110" customFormat="1" x14ac:dyDescent="0.35">
      <c r="D167" s="450"/>
      <c r="E167" s="186"/>
      <c r="F167" s="186"/>
    </row>
    <row r="168" spans="4:6" s="110" customFormat="1" x14ac:dyDescent="0.35">
      <c r="D168" s="450"/>
      <c r="E168" s="186"/>
      <c r="F168" s="186"/>
    </row>
    <row r="169" spans="4:6" s="417" customFormat="1" x14ac:dyDescent="0.35">
      <c r="D169" s="418"/>
      <c r="E169" s="235"/>
      <c r="F169" s="235"/>
    </row>
    <row r="170" spans="4:6" s="417" customFormat="1" x14ac:dyDescent="0.35">
      <c r="D170" s="418"/>
      <c r="E170" s="235"/>
      <c r="F170" s="235"/>
    </row>
    <row r="171" spans="4:6" s="417" customFormat="1" x14ac:dyDescent="0.35">
      <c r="D171" s="418"/>
      <c r="E171" s="235"/>
      <c r="F171" s="235"/>
    </row>
    <row r="172" spans="4:6" s="417" customFormat="1" x14ac:dyDescent="0.35">
      <c r="D172" s="418"/>
      <c r="E172" s="235"/>
      <c r="F172" s="235"/>
    </row>
    <row r="173" spans="4:6" s="417" customFormat="1" x14ac:dyDescent="0.35">
      <c r="D173" s="418"/>
      <c r="E173" s="235"/>
      <c r="F173" s="235"/>
    </row>
    <row r="174" spans="4:6" s="417" customFormat="1" x14ac:dyDescent="0.35">
      <c r="D174" s="418"/>
      <c r="E174" s="235"/>
      <c r="F174" s="235"/>
    </row>
  </sheetData>
  <sheetProtection algorithmName="SHA-512" hashValue="tOuveCpby7CFq7fomOZfOUu+WuhIvTvOeluSGxp05zrY9LG4OlL4St3BELtNfNHz6GuHitvtq9r46WQ0OGDJug==" saltValue="7SYBPrZJ8/uIWuUvryAZzQ==" spinCount="100000" sheet="1" objects="1" scenarios="1"/>
  <mergeCells count="1">
    <mergeCell ref="C3:D3"/>
  </mergeCells>
  <dataValidations count="1">
    <dataValidation type="list" allowBlank="1" showInputMessage="1" showErrorMessage="1" sqref="D7">
      <formula1>$H$3:$H$8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IF($H$3=$D$7,'The Arborage'!$A$2:$A$126,IF($D$7=$H$4,Meridien!$A$2:$A$7,IF($D$7=$H$5,'Woodmore Spring'!$A$2:$A$10,IF($D$7=$H$6,'Sunshine Place'!$A$2:$A$15,IF($D$7=$H$7,'Prominence II'!$A$2:$A$13,'West Parc'!$A$2:$A$26)))))</xm:f>
          </x14:formula1>
          <xm:sqref>D8</xm:sqref>
        </x14:dataValidation>
        <x14:dataValidation type="custom" allowBlank="1" showInputMessage="1" showErrorMessage="1">
          <x14:formula1>
            <xm:f>IF(D7=H3,'The Arborage'!A2:A126,IF(D7=H4,Meridien!A2:A7,'Woodmore Spring'!A2:A10))</xm:f>
          </x14:formula1>
          <xm:sqref>E12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1" tint="0.249977111117893"/>
  </sheetPr>
  <dimension ref="A1:DC239"/>
  <sheetViews>
    <sheetView zoomScale="70" zoomScaleNormal="70" workbookViewId="0">
      <pane ySplit="1" topLeftCell="A2" activePane="bottomLeft" state="frozen"/>
      <selection pane="bottomLeft" activeCell="V16" sqref="V16"/>
    </sheetView>
  </sheetViews>
  <sheetFormatPr defaultColWidth="8.81640625" defaultRowHeight="14.5" x14ac:dyDescent="0.35"/>
  <cols>
    <col min="1" max="1" width="8.81640625" style="397"/>
    <col min="2" max="4" width="0" style="397" hidden="1" customWidth="1"/>
    <col min="5" max="5" width="26.54296875" style="397" customWidth="1"/>
    <col min="6" max="8" width="8.81640625" style="397"/>
    <col min="9" max="17" width="8.81640625" style="397" hidden="1" customWidth="1"/>
    <col min="18" max="18" width="23.81640625" style="397" hidden="1" customWidth="1"/>
    <col min="19" max="19" width="15.54296875" style="397" customWidth="1"/>
    <col min="20" max="20" width="14.54296875" style="397" bestFit="1" customWidth="1"/>
    <col min="21" max="21" width="8.81640625" style="397" hidden="1" customWidth="1"/>
    <col min="22" max="22" width="13.7265625" style="397" customWidth="1"/>
    <col min="23" max="29" width="8.81640625" style="397" hidden="1" customWidth="1"/>
    <col min="30" max="30" width="16.26953125" style="402" customWidth="1"/>
    <col min="31" max="31" width="15.7265625" style="402" customWidth="1"/>
    <col min="32" max="32" width="10.453125" style="397" hidden="1" customWidth="1"/>
    <col min="33" max="41" width="8.81640625" style="397" hidden="1" customWidth="1"/>
    <col min="42" max="42" width="16.1796875" style="397" hidden="1" customWidth="1"/>
    <col min="43" max="47" width="8.81640625" style="397" hidden="1" customWidth="1"/>
    <col min="48" max="48" width="24.26953125" style="402" customWidth="1"/>
    <col min="49" max="49" width="28.54296875" style="397" hidden="1" customWidth="1"/>
    <col min="50" max="100" width="8.81640625" style="397" hidden="1" customWidth="1"/>
    <col min="101" max="101" width="10.453125" style="397" hidden="1" customWidth="1"/>
    <col min="102" max="103" width="8.81640625" style="397" hidden="1" customWidth="1"/>
    <col min="104" max="104" width="15.26953125" style="397" customWidth="1"/>
    <col min="105" max="105" width="14.7265625" style="397" customWidth="1"/>
    <col min="106" max="106" width="13.1796875" style="397" customWidth="1"/>
    <col min="107" max="107" width="8.81640625" style="397" customWidth="1"/>
    <col min="108" max="108" width="10.26953125" style="397" bestFit="1" customWidth="1"/>
    <col min="109" max="16384" width="8.81640625" style="397"/>
  </cols>
  <sheetData>
    <row r="1" spans="1:107" s="457" customFormat="1" x14ac:dyDescent="0.35">
      <c r="B1" s="457" t="s">
        <v>4</v>
      </c>
      <c r="C1" s="457">
        <f>IF($D$7="ARBORAGE A",'The Arborage'!A:A,IF(Input!$D$7="ARBORAGE B",Input!A:A,IF($D$7="WEST PARC",Input!A:A,IF(Input!$D$7="MERIDIEN",Input!A:A,IF(Input!$D$7="SUNSHINE PLACE",Input!A:A,IF(Input!$D$7="WOODMORE SPRING",Input!A:A,'Prominence II'!A:A))))))</f>
        <v>0</v>
      </c>
      <c r="D1" s="457" t="s">
        <v>6</v>
      </c>
      <c r="E1" s="457" t="s">
        <v>7</v>
      </c>
      <c r="F1" s="457" t="s">
        <v>8</v>
      </c>
      <c r="G1" s="457" t="s">
        <v>9</v>
      </c>
      <c r="H1" s="457" t="s">
        <v>10</v>
      </c>
      <c r="I1" s="457" t="s">
        <v>11</v>
      </c>
      <c r="J1" s="457" t="s">
        <v>12</v>
      </c>
      <c r="K1" s="457" t="s">
        <v>13</v>
      </c>
      <c r="L1" s="457" t="s">
        <v>14</v>
      </c>
      <c r="M1" s="457" t="s">
        <v>15</v>
      </c>
      <c r="N1" s="457" t="s">
        <v>16</v>
      </c>
      <c r="O1" s="457" t="s">
        <v>17</v>
      </c>
      <c r="P1" s="457" t="s">
        <v>18</v>
      </c>
      <c r="Q1" s="457" t="s">
        <v>19</v>
      </c>
      <c r="R1" s="457" t="s">
        <v>20</v>
      </c>
      <c r="S1" s="458" t="s">
        <v>750</v>
      </c>
      <c r="T1" s="458" t="s">
        <v>751</v>
      </c>
      <c r="U1" s="458"/>
      <c r="V1" s="457" t="s">
        <v>22</v>
      </c>
      <c r="W1" s="457" t="s">
        <v>23</v>
      </c>
      <c r="X1" s="457" t="s">
        <v>24</v>
      </c>
      <c r="Y1" s="457" t="s">
        <v>25</v>
      </c>
      <c r="Z1" s="457" t="s">
        <v>26</v>
      </c>
      <c r="AA1" s="457" t="s">
        <v>27</v>
      </c>
      <c r="AB1" s="457" t="s">
        <v>28</v>
      </c>
      <c r="AC1" s="457" t="s">
        <v>29</v>
      </c>
      <c r="AD1" s="459" t="s">
        <v>752</v>
      </c>
      <c r="AE1" s="459" t="s">
        <v>31</v>
      </c>
      <c r="AF1" s="457" t="s">
        <v>32</v>
      </c>
      <c r="AG1" s="457" t="s">
        <v>33</v>
      </c>
      <c r="AH1" s="457" t="s">
        <v>34</v>
      </c>
      <c r="AI1" s="457" t="s">
        <v>35</v>
      </c>
      <c r="AJ1" s="457" t="s">
        <v>36</v>
      </c>
      <c r="AK1" s="457" t="s">
        <v>37</v>
      </c>
      <c r="AL1" s="457" t="s">
        <v>38</v>
      </c>
      <c r="AM1" s="457" t="s">
        <v>39</v>
      </c>
      <c r="AN1" s="457" t="s">
        <v>40</v>
      </c>
      <c r="AO1" s="457" t="s">
        <v>41</v>
      </c>
      <c r="AP1" s="457" t="s">
        <v>42</v>
      </c>
      <c r="AQ1" s="457" t="s">
        <v>43</v>
      </c>
      <c r="AR1" s="457" t="s">
        <v>44</v>
      </c>
      <c r="AS1" s="457" t="s">
        <v>45</v>
      </c>
      <c r="AT1" s="457" t="s">
        <v>46</v>
      </c>
      <c r="AU1" s="457" t="s">
        <v>47</v>
      </c>
      <c r="AV1" s="459" t="s">
        <v>48</v>
      </c>
      <c r="AW1" s="457" t="s">
        <v>49</v>
      </c>
      <c r="AX1" s="457" t="s">
        <v>21</v>
      </c>
      <c r="AY1" s="457" t="s">
        <v>50</v>
      </c>
      <c r="AZ1" s="457" t="s">
        <v>51</v>
      </c>
      <c r="BA1" s="457" t="s">
        <v>52</v>
      </c>
      <c r="BB1" s="457" t="s">
        <v>53</v>
      </c>
      <c r="BC1" s="457" t="s">
        <v>54</v>
      </c>
      <c r="BD1" s="457" t="s">
        <v>55</v>
      </c>
      <c r="BE1" s="457" t="s">
        <v>56</v>
      </c>
      <c r="BF1" s="457" t="s">
        <v>57</v>
      </c>
      <c r="BG1" s="457" t="s">
        <v>58</v>
      </c>
      <c r="BH1" s="457" t="s">
        <v>59</v>
      </c>
      <c r="BI1" s="457" t="s">
        <v>60</v>
      </c>
      <c r="BJ1" s="457" t="s">
        <v>61</v>
      </c>
      <c r="BK1" s="457" t="s">
        <v>62</v>
      </c>
      <c r="BL1" s="457" t="s">
        <v>63</v>
      </c>
      <c r="BM1" s="457" t="s">
        <v>64</v>
      </c>
      <c r="BN1" s="457" t="s">
        <v>65</v>
      </c>
      <c r="BO1" s="457" t="s">
        <v>66</v>
      </c>
      <c r="BP1" s="457" t="s">
        <v>67</v>
      </c>
      <c r="BQ1" s="457" t="s">
        <v>68</v>
      </c>
      <c r="BR1" s="457" t="s">
        <v>69</v>
      </c>
      <c r="BS1" s="457" t="s">
        <v>70</v>
      </c>
      <c r="BT1" s="457" t="s">
        <v>71</v>
      </c>
      <c r="BU1" s="457" t="s">
        <v>72</v>
      </c>
      <c r="BV1" s="457" t="s">
        <v>73</v>
      </c>
      <c r="BW1" s="457" t="s">
        <v>74</v>
      </c>
      <c r="BX1" s="457" t="s">
        <v>75</v>
      </c>
      <c r="BY1" s="457" t="s">
        <v>76</v>
      </c>
      <c r="BZ1" s="457" t="s">
        <v>77</v>
      </c>
      <c r="CA1" s="457" t="s">
        <v>78</v>
      </c>
      <c r="CB1" s="457" t="s">
        <v>79</v>
      </c>
      <c r="CC1" s="457" t="s">
        <v>80</v>
      </c>
      <c r="CD1" s="457" t="s">
        <v>81</v>
      </c>
      <c r="CE1" s="457" t="s">
        <v>82</v>
      </c>
      <c r="CF1" s="457" t="s">
        <v>83</v>
      </c>
      <c r="CG1" s="457" t="s">
        <v>84</v>
      </c>
      <c r="CH1" s="457" t="s">
        <v>85</v>
      </c>
      <c r="CI1" s="457" t="s">
        <v>86</v>
      </c>
      <c r="CJ1" s="457" t="s">
        <v>87</v>
      </c>
      <c r="CK1" s="457" t="s">
        <v>88</v>
      </c>
      <c r="CL1" s="457" t="s">
        <v>89</v>
      </c>
      <c r="CM1" s="457" t="s">
        <v>90</v>
      </c>
      <c r="CN1" s="457" t="s">
        <v>91</v>
      </c>
      <c r="CO1" s="457" t="s">
        <v>92</v>
      </c>
      <c r="CP1" s="457" t="s">
        <v>93</v>
      </c>
      <c r="CQ1" s="457" t="s">
        <v>94</v>
      </c>
      <c r="CR1" s="457" t="s">
        <v>95</v>
      </c>
      <c r="CS1" s="457" t="s">
        <v>96</v>
      </c>
      <c r="CT1" s="457" t="s">
        <v>97</v>
      </c>
      <c r="CU1" s="457" t="s">
        <v>98</v>
      </c>
      <c r="CV1" s="457" t="s">
        <v>99</v>
      </c>
    </row>
    <row r="2" spans="1:107" x14ac:dyDescent="0.35">
      <c r="A2" s="397" t="str">
        <f>"A"&amp;"-"&amp;F2&amp;"-"&amp;H2</f>
        <v>A-B1-L13</v>
      </c>
      <c r="B2" s="397" t="s">
        <v>100</v>
      </c>
      <c r="C2" s="397" t="s">
        <v>101</v>
      </c>
      <c r="D2" s="397" t="s">
        <v>344</v>
      </c>
      <c r="E2" s="397" t="s">
        <v>345</v>
      </c>
      <c r="F2" s="397" t="s">
        <v>104</v>
      </c>
      <c r="G2" s="397" t="s">
        <v>104</v>
      </c>
      <c r="H2" s="397" t="s">
        <v>218</v>
      </c>
      <c r="I2" s="397">
        <v>423</v>
      </c>
      <c r="J2" s="397" t="s">
        <v>346</v>
      </c>
      <c r="K2" s="397" t="s">
        <v>107</v>
      </c>
      <c r="L2" s="397" t="s">
        <v>108</v>
      </c>
      <c r="M2" s="397">
        <v>11</v>
      </c>
      <c r="N2" s="397" t="s">
        <v>109</v>
      </c>
      <c r="O2" s="397">
        <v>2</v>
      </c>
      <c r="P2" s="397" t="s">
        <v>110</v>
      </c>
      <c r="R2" s="397" t="s">
        <v>347</v>
      </c>
      <c r="S2" s="398">
        <v>250</v>
      </c>
      <c r="T2" s="398">
        <v>0</v>
      </c>
      <c r="U2" s="398"/>
      <c r="V2" s="397" t="s">
        <v>113</v>
      </c>
      <c r="W2" s="397" t="s">
        <v>114</v>
      </c>
      <c r="X2" s="397" t="s">
        <v>115</v>
      </c>
      <c r="AE2" s="402">
        <v>9470000</v>
      </c>
      <c r="AF2" s="397" t="s">
        <v>116</v>
      </c>
      <c r="AM2" s="397" t="s">
        <v>117</v>
      </c>
      <c r="AN2" s="397" t="s">
        <v>109</v>
      </c>
      <c r="AO2" s="397" t="s">
        <v>118</v>
      </c>
      <c r="AP2" s="397" t="s">
        <v>119</v>
      </c>
      <c r="AQ2" s="397">
        <v>4</v>
      </c>
      <c r="AR2" s="397" t="s">
        <v>120</v>
      </c>
      <c r="AS2" s="397" t="s">
        <v>348</v>
      </c>
      <c r="AX2" s="397" t="s">
        <v>122</v>
      </c>
      <c r="AY2" s="397" t="s">
        <v>295</v>
      </c>
      <c r="BJ2" s="397" t="s">
        <v>124</v>
      </c>
      <c r="BK2" s="397" t="s">
        <v>349</v>
      </c>
      <c r="BT2" s="397" t="s">
        <v>126</v>
      </c>
      <c r="BU2" s="397" t="s">
        <v>126</v>
      </c>
      <c r="BV2" s="397" t="s">
        <v>350</v>
      </c>
      <c r="BW2" s="397" t="s">
        <v>128</v>
      </c>
      <c r="BX2" s="397" t="s">
        <v>289</v>
      </c>
      <c r="BY2" s="397" t="s">
        <v>130</v>
      </c>
      <c r="CD2" s="397" t="s">
        <v>131</v>
      </c>
      <c r="CE2" s="397" t="s">
        <v>132</v>
      </c>
      <c r="CF2" s="397" t="s">
        <v>133</v>
      </c>
      <c r="CJ2" s="397" t="s">
        <v>134</v>
      </c>
      <c r="CK2" s="397" t="s">
        <v>351</v>
      </c>
      <c r="CL2" s="397" t="s">
        <v>136</v>
      </c>
      <c r="CM2" s="397" t="s">
        <v>137</v>
      </c>
      <c r="CN2" s="397" t="s">
        <v>352</v>
      </c>
      <c r="CO2" s="397" t="s">
        <v>139</v>
      </c>
      <c r="CR2" s="397" t="s">
        <v>140</v>
      </c>
      <c r="CW2" s="402">
        <f>CX2/S2</f>
        <v>42425.600000000006</v>
      </c>
      <c r="CX2" s="397">
        <f>(AE2+AV2)*1.12</f>
        <v>10606400.000000002</v>
      </c>
      <c r="CZ2" s="399"/>
      <c r="DA2" s="399"/>
      <c r="DB2" s="397" t="str">
        <f>G2&amp;" "&amp;H2</f>
        <v>B1 L13</v>
      </c>
    </row>
    <row r="3" spans="1:107" x14ac:dyDescent="0.35">
      <c r="A3" s="397" t="str">
        <f t="shared" ref="A3:A29" si="0">"A"&amp;"-"&amp;F3&amp;"-"&amp;H3</f>
        <v>A-B1-L18</v>
      </c>
      <c r="B3" s="397" t="s">
        <v>100</v>
      </c>
      <c r="C3" s="397" t="s">
        <v>101</v>
      </c>
      <c r="D3" s="397" t="s">
        <v>344</v>
      </c>
      <c r="E3" s="397" t="s">
        <v>345</v>
      </c>
      <c r="F3" s="397" t="s">
        <v>104</v>
      </c>
      <c r="G3" s="397" t="s">
        <v>104</v>
      </c>
      <c r="H3" s="397" t="s">
        <v>259</v>
      </c>
      <c r="I3" s="397">
        <v>428</v>
      </c>
      <c r="J3" s="397" t="s">
        <v>353</v>
      </c>
      <c r="K3" s="397" t="s">
        <v>107</v>
      </c>
      <c r="L3" s="397" t="s">
        <v>108</v>
      </c>
      <c r="M3" s="397">
        <v>11</v>
      </c>
      <c r="N3" s="397" t="s">
        <v>109</v>
      </c>
      <c r="O3" s="397">
        <v>2</v>
      </c>
      <c r="P3" s="397" t="s">
        <v>110</v>
      </c>
      <c r="R3" s="397" t="s">
        <v>347</v>
      </c>
      <c r="S3" s="398">
        <v>250</v>
      </c>
      <c r="T3" s="398">
        <v>0</v>
      </c>
      <c r="U3" s="398"/>
      <c r="V3" s="397" t="s">
        <v>113</v>
      </c>
      <c r="W3" s="397" t="s">
        <v>114</v>
      </c>
      <c r="X3" s="397" t="s">
        <v>115</v>
      </c>
      <c r="AE3" s="402">
        <v>9470000</v>
      </c>
      <c r="AF3" s="397" t="s">
        <v>116</v>
      </c>
      <c r="AM3" s="397" t="s">
        <v>117</v>
      </c>
      <c r="AN3" s="397" t="s">
        <v>109</v>
      </c>
      <c r="AO3" s="397" t="s">
        <v>118</v>
      </c>
      <c r="AP3" s="397" t="s">
        <v>119</v>
      </c>
      <c r="AQ3" s="397">
        <v>4</v>
      </c>
      <c r="AR3" s="397" t="s">
        <v>120</v>
      </c>
      <c r="AS3" s="397" t="s">
        <v>348</v>
      </c>
      <c r="AX3" s="397" t="s">
        <v>122</v>
      </c>
      <c r="AY3" s="397" t="s">
        <v>295</v>
      </c>
      <c r="BJ3" s="397" t="s">
        <v>124</v>
      </c>
      <c r="BK3" s="397" t="s">
        <v>349</v>
      </c>
      <c r="BT3" s="397" t="s">
        <v>126</v>
      </c>
      <c r="BU3" s="397" t="s">
        <v>126</v>
      </c>
      <c r="BV3" s="397" t="s">
        <v>354</v>
      </c>
      <c r="BW3" s="397" t="s">
        <v>128</v>
      </c>
      <c r="BX3" s="397" t="s">
        <v>355</v>
      </c>
      <c r="BY3" s="397" t="s">
        <v>130</v>
      </c>
      <c r="CD3" s="397" t="s">
        <v>131</v>
      </c>
      <c r="CE3" s="397" t="s">
        <v>132</v>
      </c>
      <c r="CF3" s="397" t="s">
        <v>133</v>
      </c>
      <c r="CJ3" s="397" t="s">
        <v>156</v>
      </c>
      <c r="CK3" s="397" t="s">
        <v>356</v>
      </c>
      <c r="CL3" s="397" t="s">
        <v>136</v>
      </c>
      <c r="CM3" s="397" t="s">
        <v>137</v>
      </c>
      <c r="CN3" s="397" t="s">
        <v>357</v>
      </c>
      <c r="CO3" s="397" t="s">
        <v>139</v>
      </c>
      <c r="CR3" s="397" t="s">
        <v>140</v>
      </c>
      <c r="CW3" s="402">
        <f t="shared" ref="CW3:CW15" si="1">CX3/S3</f>
        <v>42425.600000000006</v>
      </c>
      <c r="CX3" s="397">
        <f t="shared" ref="CX3:CX15" si="2">(AE3+AV3)*1.12</f>
        <v>10606400.000000002</v>
      </c>
      <c r="DB3" s="397" t="str">
        <f t="shared" ref="DB3:DB17" si="3">G3&amp;" "&amp;H3</f>
        <v>B1 L18</v>
      </c>
    </row>
    <row r="4" spans="1:107" x14ac:dyDescent="0.35">
      <c r="A4" s="397" t="str">
        <f t="shared" si="0"/>
        <v>A-B1-L4</v>
      </c>
      <c r="B4" s="397" t="s">
        <v>100</v>
      </c>
      <c r="C4" s="397" t="s">
        <v>101</v>
      </c>
      <c r="D4" s="397" t="s">
        <v>344</v>
      </c>
      <c r="E4" s="397" t="s">
        <v>345</v>
      </c>
      <c r="F4" s="397" t="s">
        <v>104</v>
      </c>
      <c r="G4" s="397" t="s">
        <v>104</v>
      </c>
      <c r="H4" s="397" t="s">
        <v>197</v>
      </c>
      <c r="I4" s="397">
        <v>414</v>
      </c>
      <c r="J4" s="397" t="s">
        <v>358</v>
      </c>
      <c r="K4" s="397" t="s">
        <v>107</v>
      </c>
      <c r="L4" s="397" t="s">
        <v>108</v>
      </c>
      <c r="M4" s="397">
        <v>11</v>
      </c>
      <c r="N4" s="397" t="s">
        <v>109</v>
      </c>
      <c r="O4" s="397">
        <v>2</v>
      </c>
      <c r="P4" s="397" t="s">
        <v>110</v>
      </c>
      <c r="R4" s="397" t="s">
        <v>359</v>
      </c>
      <c r="S4" s="398">
        <v>225</v>
      </c>
      <c r="T4" s="398">
        <v>0</v>
      </c>
      <c r="U4" s="398"/>
      <c r="V4" s="397" t="s">
        <v>113</v>
      </c>
      <c r="W4" s="397" t="s">
        <v>114</v>
      </c>
      <c r="X4" s="397" t="s">
        <v>115</v>
      </c>
      <c r="AE4" s="402">
        <v>8530000</v>
      </c>
      <c r="AF4" s="397" t="s">
        <v>116</v>
      </c>
      <c r="AM4" s="397" t="s">
        <v>117</v>
      </c>
      <c r="AN4" s="397" t="s">
        <v>109</v>
      </c>
      <c r="AO4" s="397" t="s">
        <v>118</v>
      </c>
      <c r="AP4" s="397" t="s">
        <v>119</v>
      </c>
      <c r="AQ4" s="397">
        <v>4</v>
      </c>
      <c r="AR4" s="397" t="s">
        <v>120</v>
      </c>
      <c r="AS4" s="397" t="s">
        <v>348</v>
      </c>
      <c r="AX4" s="397" t="s">
        <v>122</v>
      </c>
      <c r="AY4" s="397" t="s">
        <v>295</v>
      </c>
      <c r="BJ4" s="397" t="s">
        <v>124</v>
      </c>
      <c r="BK4" s="397" t="s">
        <v>349</v>
      </c>
      <c r="BT4" s="397" t="s">
        <v>126</v>
      </c>
      <c r="BU4" s="397" t="s">
        <v>126</v>
      </c>
      <c r="BV4" s="397" t="s">
        <v>360</v>
      </c>
      <c r="BW4" s="397" t="s">
        <v>128</v>
      </c>
      <c r="BX4" s="397" t="s">
        <v>289</v>
      </c>
      <c r="BY4" s="397" t="s">
        <v>130</v>
      </c>
      <c r="CD4" s="397" t="s">
        <v>131</v>
      </c>
      <c r="CE4" s="397" t="s">
        <v>132</v>
      </c>
      <c r="CF4" s="397" t="s">
        <v>133</v>
      </c>
      <c r="CJ4" s="397" t="s">
        <v>134</v>
      </c>
      <c r="CK4" s="397" t="s">
        <v>351</v>
      </c>
      <c r="CL4" s="397" t="s">
        <v>136</v>
      </c>
      <c r="CM4" s="397" t="s">
        <v>137</v>
      </c>
      <c r="CN4" s="397" t="s">
        <v>361</v>
      </c>
      <c r="CO4" s="397" t="s">
        <v>139</v>
      </c>
      <c r="CR4" s="397" t="s">
        <v>140</v>
      </c>
      <c r="CW4" s="402">
        <f t="shared" si="1"/>
        <v>42460.444444444445</v>
      </c>
      <c r="CX4" s="397">
        <f t="shared" si="2"/>
        <v>9553600</v>
      </c>
      <c r="DB4" s="397" t="str">
        <f t="shared" si="3"/>
        <v>B1 L4</v>
      </c>
    </row>
    <row r="5" spans="1:107" x14ac:dyDescent="0.35">
      <c r="A5" s="397" t="str">
        <f t="shared" si="0"/>
        <v>A-B4-L12</v>
      </c>
      <c r="B5" s="397" t="s">
        <v>100</v>
      </c>
      <c r="C5" s="397" t="s">
        <v>101</v>
      </c>
      <c r="D5" s="397" t="s">
        <v>344</v>
      </c>
      <c r="E5" s="397" t="s">
        <v>345</v>
      </c>
      <c r="F5" s="397" t="s">
        <v>196</v>
      </c>
      <c r="G5" s="397" t="s">
        <v>196</v>
      </c>
      <c r="H5" s="397" t="s">
        <v>329</v>
      </c>
      <c r="I5" s="397">
        <v>479</v>
      </c>
      <c r="J5" s="397" t="s">
        <v>365</v>
      </c>
      <c r="K5" s="397" t="s">
        <v>107</v>
      </c>
      <c r="L5" s="397" t="s">
        <v>108</v>
      </c>
      <c r="M5" s="397">
        <v>11</v>
      </c>
      <c r="N5" s="397" t="s">
        <v>109</v>
      </c>
      <c r="O5" s="397">
        <v>2</v>
      </c>
      <c r="P5" s="397" t="s">
        <v>110</v>
      </c>
      <c r="R5" s="397" t="s">
        <v>363</v>
      </c>
      <c r="S5" s="398">
        <v>240</v>
      </c>
      <c r="T5" s="398">
        <v>0</v>
      </c>
      <c r="U5" s="398"/>
      <c r="V5" s="397" t="s">
        <v>113</v>
      </c>
      <c r="W5" s="397" t="s">
        <v>114</v>
      </c>
      <c r="X5" s="397" t="s">
        <v>115</v>
      </c>
      <c r="AE5" s="402">
        <v>9090000</v>
      </c>
      <c r="AF5" s="397" t="s">
        <v>116</v>
      </c>
      <c r="AM5" s="397" t="s">
        <v>117</v>
      </c>
      <c r="AN5" s="397" t="s">
        <v>109</v>
      </c>
      <c r="AO5" s="397" t="s">
        <v>118</v>
      </c>
      <c r="AP5" s="397" t="s">
        <v>119</v>
      </c>
      <c r="AQ5" s="397">
        <v>4</v>
      </c>
      <c r="AR5" s="397" t="s">
        <v>120</v>
      </c>
      <c r="AS5" s="397" t="s">
        <v>348</v>
      </c>
      <c r="AX5" s="397" t="s">
        <v>122</v>
      </c>
      <c r="AY5" s="397" t="s">
        <v>295</v>
      </c>
      <c r="BJ5" s="397" t="s">
        <v>124</v>
      </c>
      <c r="BK5" s="397" t="s">
        <v>349</v>
      </c>
      <c r="BT5" s="397" t="s">
        <v>126</v>
      </c>
      <c r="BU5" s="397" t="s">
        <v>126</v>
      </c>
      <c r="BV5" s="397" t="s">
        <v>366</v>
      </c>
      <c r="BW5" s="397" t="s">
        <v>367</v>
      </c>
      <c r="BX5" s="397" t="s">
        <v>368</v>
      </c>
      <c r="BY5" s="397" t="s">
        <v>369</v>
      </c>
      <c r="CD5" s="397" t="s">
        <v>131</v>
      </c>
      <c r="CE5" s="397" t="s">
        <v>132</v>
      </c>
      <c r="CF5" s="397" t="s">
        <v>364</v>
      </c>
      <c r="CJ5" s="397" t="s">
        <v>156</v>
      </c>
      <c r="CK5" s="397" t="s">
        <v>356</v>
      </c>
      <c r="CL5" s="397" t="s">
        <v>136</v>
      </c>
      <c r="CM5" s="397" t="s">
        <v>137</v>
      </c>
      <c r="CN5" s="397" t="s">
        <v>370</v>
      </c>
      <c r="CO5" s="397" t="s">
        <v>139</v>
      </c>
      <c r="CR5" s="397" t="s">
        <v>140</v>
      </c>
      <c r="CW5" s="402">
        <f t="shared" si="1"/>
        <v>42420.000000000007</v>
      </c>
      <c r="CX5" s="397">
        <f t="shared" si="2"/>
        <v>10180800.000000002</v>
      </c>
      <c r="DB5" s="397" t="str">
        <f t="shared" si="3"/>
        <v>B4 L12</v>
      </c>
    </row>
    <row r="6" spans="1:107" x14ac:dyDescent="0.35">
      <c r="A6" s="397" t="str">
        <f t="shared" si="0"/>
        <v>A-B4-L13</v>
      </c>
      <c r="B6" s="397" t="s">
        <v>100</v>
      </c>
      <c r="C6" s="397" t="s">
        <v>101</v>
      </c>
      <c r="D6" s="397" t="s">
        <v>344</v>
      </c>
      <c r="E6" s="397" t="s">
        <v>345</v>
      </c>
      <c r="F6" s="397" t="s">
        <v>196</v>
      </c>
      <c r="G6" s="397" t="s">
        <v>196</v>
      </c>
      <c r="H6" s="397" t="s">
        <v>218</v>
      </c>
      <c r="I6" s="397">
        <v>480</v>
      </c>
      <c r="J6" s="397" t="s">
        <v>371</v>
      </c>
      <c r="K6" s="397" t="s">
        <v>107</v>
      </c>
      <c r="L6" s="397" t="s">
        <v>108</v>
      </c>
      <c r="M6" s="397">
        <v>11</v>
      </c>
      <c r="N6" s="397" t="s">
        <v>109</v>
      </c>
      <c r="O6" s="397">
        <v>2</v>
      </c>
      <c r="P6" s="397" t="s">
        <v>110</v>
      </c>
      <c r="R6" s="397" t="s">
        <v>372</v>
      </c>
      <c r="S6" s="398">
        <v>168</v>
      </c>
      <c r="T6" s="398">
        <v>0</v>
      </c>
      <c r="U6" s="398"/>
      <c r="V6" s="397" t="s">
        <v>113</v>
      </c>
      <c r="W6" s="397" t="s">
        <v>114</v>
      </c>
      <c r="X6" s="397" t="s">
        <v>115</v>
      </c>
      <c r="AE6" s="402">
        <v>5540000</v>
      </c>
      <c r="AF6" s="397" t="s">
        <v>116</v>
      </c>
      <c r="AM6" s="397" t="s">
        <v>117</v>
      </c>
      <c r="AN6" s="397" t="s">
        <v>109</v>
      </c>
      <c r="AO6" s="397" t="s">
        <v>118</v>
      </c>
      <c r="AP6" s="397" t="s">
        <v>119</v>
      </c>
      <c r="AQ6" s="397">
        <v>4</v>
      </c>
      <c r="AR6" s="397" t="s">
        <v>120</v>
      </c>
      <c r="AS6" s="397" t="s">
        <v>348</v>
      </c>
      <c r="AX6" s="397" t="s">
        <v>122</v>
      </c>
      <c r="AY6" s="397" t="s">
        <v>373</v>
      </c>
      <c r="BJ6" s="397" t="s">
        <v>124</v>
      </c>
      <c r="BK6" s="397" t="s">
        <v>349</v>
      </c>
      <c r="BT6" s="397" t="s">
        <v>374</v>
      </c>
      <c r="BU6" s="397" t="s">
        <v>374</v>
      </c>
      <c r="BV6" s="397" t="s">
        <v>375</v>
      </c>
      <c r="BW6" s="397" t="s">
        <v>376</v>
      </c>
      <c r="BX6" s="397" t="s">
        <v>377</v>
      </c>
      <c r="BY6" s="397" t="s">
        <v>378</v>
      </c>
      <c r="CD6" s="397" t="s">
        <v>131</v>
      </c>
      <c r="CE6" s="397" t="s">
        <v>132</v>
      </c>
      <c r="CF6" s="397" t="s">
        <v>364</v>
      </c>
      <c r="CJ6" s="397" t="s">
        <v>134</v>
      </c>
      <c r="CK6" s="397" t="s">
        <v>351</v>
      </c>
      <c r="CL6" s="397" t="s">
        <v>136</v>
      </c>
      <c r="CM6" s="397" t="s">
        <v>137</v>
      </c>
      <c r="CN6" s="397" t="s">
        <v>379</v>
      </c>
      <c r="CO6" s="397" t="s">
        <v>139</v>
      </c>
      <c r="CR6" s="397" t="s">
        <v>140</v>
      </c>
      <c r="CW6" s="402">
        <f t="shared" si="1"/>
        <v>36933.333333333336</v>
      </c>
      <c r="CX6" s="397">
        <f t="shared" si="2"/>
        <v>6204800.0000000009</v>
      </c>
      <c r="DB6" s="397" t="str">
        <f t="shared" si="3"/>
        <v>B4 L13</v>
      </c>
    </row>
    <row r="7" spans="1:107" x14ac:dyDescent="0.35">
      <c r="A7" s="397" t="str">
        <f t="shared" si="0"/>
        <v>A-B4-L15</v>
      </c>
      <c r="B7" s="397" t="s">
        <v>100</v>
      </c>
      <c r="C7" s="397" t="s">
        <v>101</v>
      </c>
      <c r="D7" s="397" t="s">
        <v>344</v>
      </c>
      <c r="E7" s="397" t="s">
        <v>345</v>
      </c>
      <c r="F7" s="397" t="s">
        <v>196</v>
      </c>
      <c r="G7" s="397" t="s">
        <v>196</v>
      </c>
      <c r="H7" s="397" t="s">
        <v>380</v>
      </c>
      <c r="I7" s="397">
        <v>482</v>
      </c>
      <c r="J7" s="397" t="s">
        <v>381</v>
      </c>
      <c r="K7" s="397" t="s">
        <v>107</v>
      </c>
      <c r="L7" s="397" t="s">
        <v>108</v>
      </c>
      <c r="M7" s="397">
        <v>11</v>
      </c>
      <c r="N7" s="397" t="s">
        <v>109</v>
      </c>
      <c r="O7" s="397">
        <v>2</v>
      </c>
      <c r="P7" s="397" t="s">
        <v>110</v>
      </c>
      <c r="R7" s="397" t="s">
        <v>372</v>
      </c>
      <c r="S7" s="398">
        <v>168</v>
      </c>
      <c r="T7" s="398">
        <v>0</v>
      </c>
      <c r="U7" s="398"/>
      <c r="V7" s="397" t="s">
        <v>113</v>
      </c>
      <c r="W7" s="397" t="s">
        <v>114</v>
      </c>
      <c r="X7" s="397" t="s">
        <v>115</v>
      </c>
      <c r="AE7" s="402">
        <v>5540000</v>
      </c>
      <c r="AF7" s="397" t="s">
        <v>116</v>
      </c>
      <c r="AM7" s="397" t="s">
        <v>117</v>
      </c>
      <c r="AN7" s="397" t="s">
        <v>109</v>
      </c>
      <c r="AO7" s="397" t="s">
        <v>118</v>
      </c>
      <c r="AP7" s="397" t="s">
        <v>119</v>
      </c>
      <c r="AQ7" s="397">
        <v>4</v>
      </c>
      <c r="AR7" s="397" t="s">
        <v>120</v>
      </c>
      <c r="AS7" s="397" t="s">
        <v>348</v>
      </c>
      <c r="AX7" s="397" t="s">
        <v>122</v>
      </c>
      <c r="AY7" s="397" t="s">
        <v>382</v>
      </c>
      <c r="BJ7" s="397" t="s">
        <v>124</v>
      </c>
      <c r="BK7" s="397" t="s">
        <v>349</v>
      </c>
      <c r="BT7" s="397" t="s">
        <v>374</v>
      </c>
      <c r="BU7" s="397" t="s">
        <v>374</v>
      </c>
      <c r="BV7" s="397" t="s">
        <v>383</v>
      </c>
      <c r="BW7" s="397" t="s">
        <v>376</v>
      </c>
      <c r="BX7" s="397" t="s">
        <v>384</v>
      </c>
      <c r="BY7" s="397" t="s">
        <v>385</v>
      </c>
      <c r="CD7" s="397" t="s">
        <v>131</v>
      </c>
      <c r="CE7" s="397" t="s">
        <v>132</v>
      </c>
      <c r="CF7" s="397" t="s">
        <v>364</v>
      </c>
      <c r="CJ7" s="397" t="s">
        <v>134</v>
      </c>
      <c r="CK7" s="397" t="s">
        <v>351</v>
      </c>
      <c r="CL7" s="397" t="s">
        <v>136</v>
      </c>
      <c r="CM7" s="397" t="s">
        <v>137</v>
      </c>
      <c r="CN7" s="397" t="s">
        <v>386</v>
      </c>
      <c r="CO7" s="397" t="s">
        <v>139</v>
      </c>
      <c r="CR7" s="397" t="s">
        <v>140</v>
      </c>
      <c r="CW7" s="402">
        <f t="shared" si="1"/>
        <v>36933.333333333336</v>
      </c>
      <c r="CX7" s="397">
        <f t="shared" si="2"/>
        <v>6204800.0000000009</v>
      </c>
      <c r="DB7" s="397" t="str">
        <f t="shared" si="3"/>
        <v>B4 L15</v>
      </c>
    </row>
    <row r="8" spans="1:107" x14ac:dyDescent="0.35">
      <c r="A8" s="397" t="str">
        <f t="shared" si="0"/>
        <v>A-B4-L17</v>
      </c>
      <c r="B8" s="397" t="s">
        <v>100</v>
      </c>
      <c r="C8" s="397" t="s">
        <v>101</v>
      </c>
      <c r="D8" s="397" t="s">
        <v>344</v>
      </c>
      <c r="E8" s="397" t="s">
        <v>345</v>
      </c>
      <c r="F8" s="397" t="s">
        <v>196</v>
      </c>
      <c r="G8" s="397" t="s">
        <v>196</v>
      </c>
      <c r="H8" s="397" t="s">
        <v>387</v>
      </c>
      <c r="I8" s="397">
        <v>484</v>
      </c>
      <c r="J8" s="397" t="s">
        <v>388</v>
      </c>
      <c r="K8" s="397" t="s">
        <v>107</v>
      </c>
      <c r="L8" s="397" t="s">
        <v>108</v>
      </c>
      <c r="M8" s="397">
        <v>11</v>
      </c>
      <c r="N8" s="397" t="s">
        <v>109</v>
      </c>
      <c r="O8" s="397">
        <v>2</v>
      </c>
      <c r="P8" s="397" t="s">
        <v>110</v>
      </c>
      <c r="R8" s="397" t="s">
        <v>372</v>
      </c>
      <c r="S8" s="398">
        <v>168</v>
      </c>
      <c r="T8" s="398">
        <v>0</v>
      </c>
      <c r="U8" s="398"/>
      <c r="V8" s="397" t="s">
        <v>113</v>
      </c>
      <c r="W8" s="397" t="s">
        <v>114</v>
      </c>
      <c r="X8" s="397" t="s">
        <v>115</v>
      </c>
      <c r="AE8" s="402">
        <v>5540000</v>
      </c>
      <c r="AF8" s="397" t="s">
        <v>116</v>
      </c>
      <c r="AM8" s="397" t="s">
        <v>117</v>
      </c>
      <c r="AN8" s="397" t="s">
        <v>109</v>
      </c>
      <c r="AO8" s="397" t="s">
        <v>118</v>
      </c>
      <c r="AP8" s="397" t="s">
        <v>119</v>
      </c>
      <c r="AQ8" s="397">
        <v>4</v>
      </c>
      <c r="AR8" s="397" t="s">
        <v>120</v>
      </c>
      <c r="AS8" s="397" t="s">
        <v>348</v>
      </c>
      <c r="AX8" s="397" t="s">
        <v>122</v>
      </c>
      <c r="AY8" s="397" t="s">
        <v>389</v>
      </c>
      <c r="BJ8" s="397" t="s">
        <v>124</v>
      </c>
      <c r="BK8" s="397" t="s">
        <v>349</v>
      </c>
      <c r="BT8" s="397" t="s">
        <v>390</v>
      </c>
      <c r="BU8" s="397" t="s">
        <v>390</v>
      </c>
      <c r="BV8" s="397" t="s">
        <v>391</v>
      </c>
      <c r="BW8" s="397" t="s">
        <v>392</v>
      </c>
      <c r="BX8" s="397" t="s">
        <v>393</v>
      </c>
      <c r="BY8" s="397" t="s">
        <v>394</v>
      </c>
      <c r="CD8" s="397" t="s">
        <v>131</v>
      </c>
      <c r="CE8" s="397" t="s">
        <v>132</v>
      </c>
      <c r="CF8" s="397" t="s">
        <v>364</v>
      </c>
      <c r="CJ8" s="397" t="s">
        <v>134</v>
      </c>
      <c r="CK8" s="397" t="s">
        <v>351</v>
      </c>
      <c r="CL8" s="397" t="s">
        <v>136</v>
      </c>
      <c r="CM8" s="397" t="s">
        <v>137</v>
      </c>
      <c r="CN8" s="397" t="s">
        <v>395</v>
      </c>
      <c r="CO8" s="397" t="s">
        <v>139</v>
      </c>
      <c r="CR8" s="397" t="s">
        <v>140</v>
      </c>
      <c r="CW8" s="402">
        <f t="shared" si="1"/>
        <v>36933.333333333336</v>
      </c>
      <c r="CX8" s="397">
        <f t="shared" si="2"/>
        <v>6204800.0000000009</v>
      </c>
      <c r="DB8" s="397" t="str">
        <f t="shared" si="3"/>
        <v>B4 L17</v>
      </c>
    </row>
    <row r="9" spans="1:107" x14ac:dyDescent="0.35">
      <c r="A9" s="397" t="str">
        <f t="shared" si="0"/>
        <v>A-B5-L4</v>
      </c>
      <c r="B9" s="397" t="s">
        <v>100</v>
      </c>
      <c r="C9" s="397" t="s">
        <v>101</v>
      </c>
      <c r="D9" s="397" t="s">
        <v>344</v>
      </c>
      <c r="E9" s="397" t="s">
        <v>345</v>
      </c>
      <c r="F9" s="397" t="s">
        <v>236</v>
      </c>
      <c r="G9" s="397" t="s">
        <v>236</v>
      </c>
      <c r="H9" s="397" t="s">
        <v>197</v>
      </c>
      <c r="I9" s="397">
        <v>490</v>
      </c>
      <c r="J9" s="397" t="s">
        <v>396</v>
      </c>
      <c r="K9" s="397" t="s">
        <v>107</v>
      </c>
      <c r="L9" s="397" t="s">
        <v>108</v>
      </c>
      <c r="M9" s="397">
        <v>11</v>
      </c>
      <c r="N9" s="397" t="s">
        <v>109</v>
      </c>
      <c r="O9" s="397">
        <v>2</v>
      </c>
      <c r="P9" s="397" t="s">
        <v>110</v>
      </c>
      <c r="R9" s="397" t="s">
        <v>397</v>
      </c>
      <c r="S9" s="398">
        <v>238</v>
      </c>
      <c r="T9" s="398">
        <v>0</v>
      </c>
      <c r="U9" s="398"/>
      <c r="V9" s="397" t="s">
        <v>113</v>
      </c>
      <c r="W9" s="397" t="s">
        <v>114</v>
      </c>
      <c r="X9" s="397" t="s">
        <v>115</v>
      </c>
      <c r="AE9" s="402">
        <v>7050000</v>
      </c>
      <c r="AF9" s="397" t="s">
        <v>116</v>
      </c>
      <c r="AM9" s="397" t="s">
        <v>117</v>
      </c>
      <c r="AN9" s="397" t="s">
        <v>109</v>
      </c>
      <c r="AO9" s="397" t="s">
        <v>118</v>
      </c>
      <c r="AP9" s="397" t="s">
        <v>119</v>
      </c>
      <c r="AQ9" s="397">
        <v>4</v>
      </c>
      <c r="AR9" s="397" t="s">
        <v>120</v>
      </c>
      <c r="AS9" s="397" t="s">
        <v>348</v>
      </c>
      <c r="AX9" s="397" t="s">
        <v>122</v>
      </c>
      <c r="AY9" s="397" t="s">
        <v>295</v>
      </c>
      <c r="BJ9" s="397" t="s">
        <v>124</v>
      </c>
      <c r="BK9" s="397" t="s">
        <v>349</v>
      </c>
      <c r="BT9" s="397" t="s">
        <v>126</v>
      </c>
      <c r="BU9" s="397" t="s">
        <v>126</v>
      </c>
      <c r="BV9" s="397" t="s">
        <v>398</v>
      </c>
      <c r="BW9" s="397" t="s">
        <v>128</v>
      </c>
      <c r="BX9" s="397" t="s">
        <v>289</v>
      </c>
      <c r="BY9" s="397" t="s">
        <v>130</v>
      </c>
      <c r="CD9" s="397" t="s">
        <v>131</v>
      </c>
      <c r="CE9" s="397" t="s">
        <v>132</v>
      </c>
      <c r="CF9" s="397" t="s">
        <v>364</v>
      </c>
      <c r="CJ9" s="397" t="s">
        <v>134</v>
      </c>
      <c r="CK9" s="397" t="s">
        <v>399</v>
      </c>
      <c r="CL9" s="397" t="s">
        <v>136</v>
      </c>
      <c r="CM9" s="397" t="s">
        <v>137</v>
      </c>
      <c r="CN9" s="397" t="s">
        <v>400</v>
      </c>
      <c r="CO9" s="397" t="s">
        <v>139</v>
      </c>
      <c r="CR9" s="397" t="s">
        <v>140</v>
      </c>
      <c r="CW9" s="402">
        <f t="shared" si="1"/>
        <v>33176.470588235301</v>
      </c>
      <c r="CX9" s="397">
        <f t="shared" si="2"/>
        <v>7896000.0000000009</v>
      </c>
      <c r="DB9" s="397" t="str">
        <f t="shared" si="3"/>
        <v>B5 L4</v>
      </c>
    </row>
    <row r="10" spans="1:107" x14ac:dyDescent="0.35">
      <c r="A10" s="397" t="str">
        <f t="shared" si="0"/>
        <v>A-B5-L6</v>
      </c>
      <c r="B10" s="397" t="s">
        <v>100</v>
      </c>
      <c r="C10" s="397" t="s">
        <v>101</v>
      </c>
      <c r="D10" s="397" t="s">
        <v>344</v>
      </c>
      <c r="E10" s="397" t="s">
        <v>345</v>
      </c>
      <c r="F10" s="397" t="s">
        <v>236</v>
      </c>
      <c r="G10" s="397" t="s">
        <v>236</v>
      </c>
      <c r="H10" s="397" t="s">
        <v>183</v>
      </c>
      <c r="I10" s="397">
        <v>492</v>
      </c>
      <c r="J10" s="397" t="s">
        <v>401</v>
      </c>
      <c r="K10" s="397" t="s">
        <v>107</v>
      </c>
      <c r="L10" s="397" t="s">
        <v>108</v>
      </c>
      <c r="M10" s="397">
        <v>11</v>
      </c>
      <c r="N10" s="397" t="s">
        <v>109</v>
      </c>
      <c r="O10" s="397">
        <v>2</v>
      </c>
      <c r="P10" s="397" t="s">
        <v>110</v>
      </c>
      <c r="R10" s="397" t="s">
        <v>402</v>
      </c>
      <c r="S10" s="398">
        <v>228</v>
      </c>
      <c r="T10" s="398">
        <v>0</v>
      </c>
      <c r="U10" s="398"/>
      <c r="V10" s="397" t="s">
        <v>113</v>
      </c>
      <c r="W10" s="397" t="s">
        <v>114</v>
      </c>
      <c r="X10" s="397" t="s">
        <v>115</v>
      </c>
      <c r="AE10" s="402">
        <v>6760000</v>
      </c>
      <c r="AF10" s="397" t="s">
        <v>116</v>
      </c>
      <c r="AM10" s="397" t="s">
        <v>117</v>
      </c>
      <c r="AN10" s="397" t="s">
        <v>109</v>
      </c>
      <c r="AO10" s="397" t="s">
        <v>118</v>
      </c>
      <c r="AP10" s="397" t="s">
        <v>119</v>
      </c>
      <c r="AQ10" s="397">
        <v>4</v>
      </c>
      <c r="AR10" s="397" t="s">
        <v>120</v>
      </c>
      <c r="AS10" s="397" t="s">
        <v>348</v>
      </c>
      <c r="AX10" s="397" t="s">
        <v>122</v>
      </c>
      <c r="AY10" s="397" t="s">
        <v>295</v>
      </c>
      <c r="BJ10" s="397" t="s">
        <v>124</v>
      </c>
      <c r="BK10" s="397" t="s">
        <v>349</v>
      </c>
      <c r="BT10" s="397" t="s">
        <v>126</v>
      </c>
      <c r="BU10" s="397" t="s">
        <v>126</v>
      </c>
      <c r="BV10" s="397" t="s">
        <v>403</v>
      </c>
      <c r="BW10" s="397" t="s">
        <v>128</v>
      </c>
      <c r="BX10" s="397" t="s">
        <v>289</v>
      </c>
      <c r="BY10" s="397" t="s">
        <v>130</v>
      </c>
      <c r="CD10" s="397" t="s">
        <v>131</v>
      </c>
      <c r="CE10" s="397" t="s">
        <v>132</v>
      </c>
      <c r="CF10" s="397" t="s">
        <v>364</v>
      </c>
      <c r="CJ10" s="397" t="s">
        <v>156</v>
      </c>
      <c r="CK10" s="397" t="s">
        <v>356</v>
      </c>
      <c r="CL10" s="397" t="s">
        <v>136</v>
      </c>
      <c r="CM10" s="397" t="s">
        <v>137</v>
      </c>
      <c r="CN10" s="397" t="s">
        <v>404</v>
      </c>
      <c r="CO10" s="397" t="s">
        <v>139</v>
      </c>
      <c r="CR10" s="397" t="s">
        <v>140</v>
      </c>
      <c r="CW10" s="402">
        <f t="shared" si="1"/>
        <v>33207.017543859656</v>
      </c>
      <c r="CX10" s="397">
        <f t="shared" si="2"/>
        <v>7571200.0000000009</v>
      </c>
      <c r="DB10" s="397" t="str">
        <f t="shared" si="3"/>
        <v>B5 L6</v>
      </c>
    </row>
    <row r="11" spans="1:107" x14ac:dyDescent="0.35">
      <c r="A11" s="397" t="str">
        <f t="shared" si="0"/>
        <v>A-B6-L2</v>
      </c>
      <c r="B11" s="397" t="s">
        <v>100</v>
      </c>
      <c r="C11" s="397" t="s">
        <v>101</v>
      </c>
      <c r="D11" s="397" t="s">
        <v>344</v>
      </c>
      <c r="E11" s="397" t="s">
        <v>345</v>
      </c>
      <c r="F11" s="397" t="s">
        <v>405</v>
      </c>
      <c r="G11" s="397" t="s">
        <v>405</v>
      </c>
      <c r="H11" s="397" t="s">
        <v>246</v>
      </c>
      <c r="I11" s="397">
        <v>513</v>
      </c>
      <c r="J11" s="397" t="s">
        <v>406</v>
      </c>
      <c r="K11" s="397" t="s">
        <v>107</v>
      </c>
      <c r="L11" s="397" t="s">
        <v>108</v>
      </c>
      <c r="M11" s="397">
        <v>11</v>
      </c>
      <c r="N11" s="397" t="s">
        <v>109</v>
      </c>
      <c r="O11" s="397">
        <v>2</v>
      </c>
      <c r="P11" s="397" t="s">
        <v>110</v>
      </c>
      <c r="R11" s="397" t="s">
        <v>407</v>
      </c>
      <c r="S11" s="398">
        <v>223</v>
      </c>
      <c r="T11" s="398">
        <v>0</v>
      </c>
      <c r="U11" s="398"/>
      <c r="V11" s="397" t="s">
        <v>113</v>
      </c>
      <c r="W11" s="397" t="s">
        <v>114</v>
      </c>
      <c r="X11" s="397" t="s">
        <v>115</v>
      </c>
      <c r="AE11" s="402">
        <v>6610000</v>
      </c>
      <c r="AF11" s="397" t="s">
        <v>116</v>
      </c>
      <c r="AM11" s="397" t="s">
        <v>117</v>
      </c>
      <c r="AN11" s="397" t="s">
        <v>109</v>
      </c>
      <c r="AO11" s="397" t="s">
        <v>118</v>
      </c>
      <c r="AP11" s="397" t="s">
        <v>119</v>
      </c>
      <c r="AQ11" s="397">
        <v>4</v>
      </c>
      <c r="AR11" s="397" t="s">
        <v>120</v>
      </c>
      <c r="AS11" s="397" t="s">
        <v>348</v>
      </c>
      <c r="AX11" s="397" t="s">
        <v>122</v>
      </c>
      <c r="AY11" s="397" t="s">
        <v>408</v>
      </c>
      <c r="BJ11" s="397" t="s">
        <v>124</v>
      </c>
      <c r="BK11" s="397" t="s">
        <v>349</v>
      </c>
      <c r="BT11" s="397" t="s">
        <v>126</v>
      </c>
      <c r="BU11" s="397" t="s">
        <v>126</v>
      </c>
      <c r="BV11" s="397" t="s">
        <v>409</v>
      </c>
      <c r="BW11" s="397" t="s">
        <v>410</v>
      </c>
      <c r="BX11" s="397" t="s">
        <v>411</v>
      </c>
      <c r="BY11" s="397" t="s">
        <v>412</v>
      </c>
      <c r="CD11" s="397" t="s">
        <v>131</v>
      </c>
      <c r="CE11" s="397" t="s">
        <v>132</v>
      </c>
      <c r="CF11" s="397" t="s">
        <v>413</v>
      </c>
      <c r="CJ11" s="397" t="s">
        <v>134</v>
      </c>
      <c r="CK11" s="397" t="s">
        <v>351</v>
      </c>
      <c r="CL11" s="397" t="s">
        <v>136</v>
      </c>
      <c r="CM11" s="397" t="s">
        <v>137</v>
      </c>
      <c r="CN11" s="397" t="s">
        <v>414</v>
      </c>
      <c r="CO11" s="397" t="s">
        <v>139</v>
      </c>
      <c r="CR11" s="397" t="s">
        <v>140</v>
      </c>
      <c r="CW11" s="402">
        <f t="shared" si="1"/>
        <v>33198.206278026912</v>
      </c>
      <c r="CX11" s="397">
        <f t="shared" si="2"/>
        <v>7403200.0000000009</v>
      </c>
      <c r="DB11" s="397" t="str">
        <f t="shared" si="3"/>
        <v>B6 L2</v>
      </c>
    </row>
    <row r="12" spans="1:107" x14ac:dyDescent="0.35">
      <c r="A12" s="397" t="str">
        <f t="shared" si="0"/>
        <v>A-B6-L5</v>
      </c>
      <c r="B12" s="397" t="s">
        <v>100</v>
      </c>
      <c r="C12" s="397" t="s">
        <v>101</v>
      </c>
      <c r="D12" s="397" t="s">
        <v>344</v>
      </c>
      <c r="E12" s="397" t="s">
        <v>345</v>
      </c>
      <c r="F12" s="397" t="s">
        <v>405</v>
      </c>
      <c r="G12" s="397" t="s">
        <v>405</v>
      </c>
      <c r="H12" s="397" t="s">
        <v>177</v>
      </c>
      <c r="I12" s="397">
        <v>516</v>
      </c>
      <c r="J12" s="397" t="s">
        <v>415</v>
      </c>
      <c r="K12" s="397" t="s">
        <v>107</v>
      </c>
      <c r="L12" s="397" t="s">
        <v>108</v>
      </c>
      <c r="M12" s="397">
        <v>11</v>
      </c>
      <c r="N12" s="397" t="s">
        <v>109</v>
      </c>
      <c r="O12" s="397">
        <v>2</v>
      </c>
      <c r="P12" s="397" t="s">
        <v>110</v>
      </c>
      <c r="R12" s="397" t="s">
        <v>407</v>
      </c>
      <c r="S12" s="398">
        <v>223</v>
      </c>
      <c r="T12" s="398">
        <v>0</v>
      </c>
      <c r="U12" s="398"/>
      <c r="V12" s="397" t="s">
        <v>113</v>
      </c>
      <c r="W12" s="397" t="s">
        <v>114</v>
      </c>
      <c r="X12" s="397" t="s">
        <v>115</v>
      </c>
      <c r="AE12" s="402">
        <v>8080000</v>
      </c>
      <c r="AF12" s="397" t="s">
        <v>116</v>
      </c>
      <c r="AM12" s="397" t="s">
        <v>117</v>
      </c>
      <c r="AN12" s="397" t="s">
        <v>109</v>
      </c>
      <c r="AO12" s="397" t="s">
        <v>118</v>
      </c>
      <c r="AP12" s="397" t="s">
        <v>119</v>
      </c>
      <c r="AQ12" s="397">
        <v>4</v>
      </c>
      <c r="AR12" s="397" t="s">
        <v>120</v>
      </c>
      <c r="AS12" s="397" t="s">
        <v>348</v>
      </c>
      <c r="AX12" s="397" t="s">
        <v>122</v>
      </c>
      <c r="AY12" s="397" t="s">
        <v>416</v>
      </c>
      <c r="BJ12" s="397" t="s">
        <v>124</v>
      </c>
      <c r="BK12" s="397" t="s">
        <v>349</v>
      </c>
      <c r="BT12" s="397" t="s">
        <v>417</v>
      </c>
      <c r="BU12" s="397" t="s">
        <v>417</v>
      </c>
      <c r="BV12" s="397" t="s">
        <v>418</v>
      </c>
      <c r="BW12" s="397" t="s">
        <v>419</v>
      </c>
      <c r="BX12" s="397" t="s">
        <v>420</v>
      </c>
      <c r="BY12" s="397" t="s">
        <v>421</v>
      </c>
      <c r="CD12" s="397" t="s">
        <v>131</v>
      </c>
      <c r="CE12" s="397" t="s">
        <v>132</v>
      </c>
      <c r="CF12" s="397" t="s">
        <v>422</v>
      </c>
      <c r="CJ12" s="397" t="s">
        <v>134</v>
      </c>
      <c r="CK12" s="397" t="s">
        <v>351</v>
      </c>
      <c r="CL12" s="397" t="s">
        <v>136</v>
      </c>
      <c r="CM12" s="397" t="s">
        <v>137</v>
      </c>
      <c r="CN12" s="397" t="s">
        <v>423</v>
      </c>
      <c r="CO12" s="397" t="s">
        <v>139</v>
      </c>
      <c r="CR12" s="397" t="s">
        <v>140</v>
      </c>
      <c r="CW12" s="402">
        <f t="shared" si="1"/>
        <v>40581.16591928251</v>
      </c>
      <c r="CX12" s="397">
        <f t="shared" si="2"/>
        <v>9049600</v>
      </c>
      <c r="DB12" s="397" t="str">
        <f t="shared" si="3"/>
        <v>B6 L5</v>
      </c>
    </row>
    <row r="13" spans="1:107" s="401" customFormat="1" x14ac:dyDescent="0.35">
      <c r="A13" s="401" t="str">
        <f t="shared" si="0"/>
        <v>A-B5-L16</v>
      </c>
      <c r="B13" s="401" t="s">
        <v>100</v>
      </c>
      <c r="C13" s="401" t="s">
        <v>101</v>
      </c>
      <c r="D13" s="401" t="s">
        <v>344</v>
      </c>
      <c r="E13" s="401" t="s">
        <v>345</v>
      </c>
      <c r="F13" s="401" t="s">
        <v>236</v>
      </c>
      <c r="G13" s="401" t="s">
        <v>236</v>
      </c>
      <c r="H13" s="401" t="s">
        <v>292</v>
      </c>
      <c r="I13" s="401">
        <v>502</v>
      </c>
      <c r="J13" s="401" t="s">
        <v>432</v>
      </c>
      <c r="K13" s="401" t="s">
        <v>107</v>
      </c>
      <c r="L13" s="401" t="s">
        <v>108</v>
      </c>
      <c r="M13" s="401">
        <v>11</v>
      </c>
      <c r="N13" s="401" t="s">
        <v>109</v>
      </c>
      <c r="O13" s="401">
        <v>2</v>
      </c>
      <c r="P13" s="401" t="s">
        <v>110</v>
      </c>
      <c r="R13" s="401" t="s">
        <v>433</v>
      </c>
      <c r="S13" s="398">
        <v>271</v>
      </c>
      <c r="T13" s="398">
        <v>133</v>
      </c>
      <c r="U13" s="398"/>
      <c r="V13" s="401" t="s">
        <v>200</v>
      </c>
      <c r="W13" s="401" t="s">
        <v>114</v>
      </c>
      <c r="X13" s="401" t="s">
        <v>115</v>
      </c>
      <c r="AD13" s="402">
        <v>4766659.2</v>
      </c>
      <c r="AE13" s="402">
        <v>6250000</v>
      </c>
      <c r="AF13" s="401" t="s">
        <v>116</v>
      </c>
      <c r="AM13" s="401" t="s">
        <v>117</v>
      </c>
      <c r="AN13" s="401" t="s">
        <v>109</v>
      </c>
      <c r="AO13" s="401" t="s">
        <v>118</v>
      </c>
      <c r="AP13" s="401" t="s">
        <v>119</v>
      </c>
      <c r="AQ13" s="401">
        <v>4</v>
      </c>
      <c r="AR13" s="401" t="s">
        <v>120</v>
      </c>
      <c r="AS13" s="401" t="s">
        <v>348</v>
      </c>
      <c r="AT13" s="401" t="s">
        <v>428</v>
      </c>
      <c r="AU13" s="401" t="s">
        <v>429</v>
      </c>
      <c r="AV13" s="402">
        <v>6190938</v>
      </c>
      <c r="AW13" s="401" t="s">
        <v>426</v>
      </c>
      <c r="AX13" s="401" t="s">
        <v>122</v>
      </c>
      <c r="AY13" s="401" t="s">
        <v>434</v>
      </c>
      <c r="BJ13" s="401" t="s">
        <v>431</v>
      </c>
      <c r="BK13" s="401" t="s">
        <v>435</v>
      </c>
      <c r="BQ13" s="401">
        <v>100</v>
      </c>
      <c r="BR13" s="401" t="s">
        <v>436</v>
      </c>
      <c r="BT13" s="401" t="s">
        <v>126</v>
      </c>
      <c r="BU13" s="401" t="s">
        <v>126</v>
      </c>
      <c r="BV13" s="401" t="s">
        <v>437</v>
      </c>
      <c r="BW13" s="401" t="s">
        <v>438</v>
      </c>
      <c r="BX13" s="401" t="s">
        <v>439</v>
      </c>
      <c r="BY13" s="401" t="s">
        <v>440</v>
      </c>
      <c r="CD13" s="401" t="s">
        <v>131</v>
      </c>
      <c r="CE13" s="401" t="s">
        <v>132</v>
      </c>
      <c r="CF13" s="401" t="s">
        <v>364</v>
      </c>
      <c r="CJ13" s="401" t="s">
        <v>441</v>
      </c>
      <c r="CK13" s="401" t="s">
        <v>442</v>
      </c>
      <c r="CL13" s="401" t="s">
        <v>136</v>
      </c>
      <c r="CM13" s="401" t="s">
        <v>137</v>
      </c>
      <c r="CN13" s="401" t="s">
        <v>443</v>
      </c>
      <c r="CO13" s="401" t="s">
        <v>139</v>
      </c>
      <c r="CR13" s="401" t="s">
        <v>140</v>
      </c>
      <c r="CW13" s="402">
        <f t="shared" si="1"/>
        <v>51416.42273062731</v>
      </c>
      <c r="CX13" s="401">
        <f t="shared" si="2"/>
        <v>13933850.560000001</v>
      </c>
      <c r="DA13" s="460">
        <f>AE13+AV13</f>
        <v>12440938</v>
      </c>
      <c r="DB13" s="401" t="str">
        <f t="shared" si="3"/>
        <v>B5 L16</v>
      </c>
      <c r="DC13" s="401">
        <f>DA13/S13</f>
        <v>45907.52029520295</v>
      </c>
    </row>
    <row r="14" spans="1:107" x14ac:dyDescent="0.35">
      <c r="A14" s="397" t="str">
        <f t="shared" si="0"/>
        <v>A-B5-L19</v>
      </c>
      <c r="B14" s="397" t="s">
        <v>100</v>
      </c>
      <c r="C14" s="397" t="s">
        <v>101</v>
      </c>
      <c r="D14" s="397" t="s">
        <v>344</v>
      </c>
      <c r="E14" s="397" t="s">
        <v>345</v>
      </c>
      <c r="F14" s="397" t="s">
        <v>236</v>
      </c>
      <c r="G14" s="397" t="s">
        <v>236</v>
      </c>
      <c r="H14" s="397" t="s">
        <v>444</v>
      </c>
      <c r="I14" s="397">
        <v>505</v>
      </c>
      <c r="J14" s="397" t="s">
        <v>445</v>
      </c>
      <c r="K14" s="397" t="s">
        <v>107</v>
      </c>
      <c r="L14" s="397" t="s">
        <v>108</v>
      </c>
      <c r="M14" s="397">
        <v>11</v>
      </c>
      <c r="N14" s="397" t="s">
        <v>109</v>
      </c>
      <c r="O14" s="397">
        <v>2</v>
      </c>
      <c r="P14" s="397" t="s">
        <v>110</v>
      </c>
      <c r="R14" s="397" t="s">
        <v>446</v>
      </c>
      <c r="S14" s="398">
        <v>232</v>
      </c>
      <c r="T14" s="398">
        <v>133</v>
      </c>
      <c r="U14" s="398"/>
      <c r="V14" s="397" t="s">
        <v>200</v>
      </c>
      <c r="W14" s="397" t="s">
        <v>114</v>
      </c>
      <c r="X14" s="397" t="s">
        <v>115</v>
      </c>
      <c r="AA14" s="397" t="s">
        <v>424</v>
      </c>
      <c r="AB14" s="397" t="s">
        <v>425</v>
      </c>
      <c r="AE14" s="402">
        <v>6880000</v>
      </c>
      <c r="AF14" s="397" t="s">
        <v>116</v>
      </c>
      <c r="AM14" s="397" t="s">
        <v>117</v>
      </c>
      <c r="AN14" s="397" t="s">
        <v>109</v>
      </c>
      <c r="AO14" s="397" t="s">
        <v>118</v>
      </c>
      <c r="AP14" s="397" t="s">
        <v>119</v>
      </c>
      <c r="AQ14" s="397">
        <v>4</v>
      </c>
      <c r="AR14" s="397" t="s">
        <v>120</v>
      </c>
      <c r="AS14" s="397" t="s">
        <v>348</v>
      </c>
      <c r="AT14" s="397" t="s">
        <v>428</v>
      </c>
      <c r="AU14" s="397" t="s">
        <v>429</v>
      </c>
      <c r="AV14" s="402">
        <v>5527620</v>
      </c>
      <c r="AW14" s="397" t="s">
        <v>426</v>
      </c>
      <c r="AX14" s="397" t="s">
        <v>122</v>
      </c>
      <c r="AY14" s="397" t="s">
        <v>447</v>
      </c>
      <c r="BJ14" s="397" t="s">
        <v>319</v>
      </c>
      <c r="BK14" s="397" t="s">
        <v>448</v>
      </c>
      <c r="BQ14" s="397">
        <v>100</v>
      </c>
      <c r="BR14" s="397" t="s">
        <v>449</v>
      </c>
      <c r="BT14" s="397" t="s">
        <v>450</v>
      </c>
      <c r="BU14" s="397" t="s">
        <v>450</v>
      </c>
      <c r="BV14" s="397" t="s">
        <v>451</v>
      </c>
      <c r="BW14" s="397" t="s">
        <v>452</v>
      </c>
      <c r="BX14" s="397" t="s">
        <v>453</v>
      </c>
      <c r="BY14" s="397" t="s">
        <v>454</v>
      </c>
      <c r="CD14" s="397" t="s">
        <v>131</v>
      </c>
      <c r="CE14" s="397" t="s">
        <v>132</v>
      </c>
      <c r="CF14" s="397" t="s">
        <v>364</v>
      </c>
      <c r="CJ14" s="397" t="s">
        <v>455</v>
      </c>
      <c r="CK14" s="397" t="s">
        <v>456</v>
      </c>
      <c r="CL14" s="397" t="s">
        <v>136</v>
      </c>
      <c r="CM14" s="397" t="s">
        <v>137</v>
      </c>
      <c r="CN14" s="397" t="s">
        <v>457</v>
      </c>
      <c r="CO14" s="397" t="s">
        <v>139</v>
      </c>
      <c r="CR14" s="397" t="s">
        <v>140</v>
      </c>
      <c r="CW14" s="402">
        <f t="shared" si="1"/>
        <v>59898.855172413801</v>
      </c>
      <c r="CX14" s="397">
        <f t="shared" si="2"/>
        <v>13896534.400000002</v>
      </c>
      <c r="DA14" s="399">
        <f>AE14+AV14</f>
        <v>12407620</v>
      </c>
      <c r="DB14" s="397" t="str">
        <f t="shared" si="3"/>
        <v>B5 L19</v>
      </c>
      <c r="DC14" s="397">
        <f>DA14/S14</f>
        <v>53481.120689655174</v>
      </c>
    </row>
    <row r="15" spans="1:107" x14ac:dyDescent="0.35">
      <c r="A15" s="397" t="str">
        <f t="shared" si="0"/>
        <v>A-B5-L5</v>
      </c>
      <c r="B15" s="397" t="s">
        <v>100</v>
      </c>
      <c r="C15" s="397" t="s">
        <v>101</v>
      </c>
      <c r="D15" s="397" t="s">
        <v>344</v>
      </c>
      <c r="E15" s="397" t="s">
        <v>345</v>
      </c>
      <c r="F15" s="397" t="s">
        <v>236</v>
      </c>
      <c r="G15" s="397" t="s">
        <v>236</v>
      </c>
      <c r="H15" s="397" t="s">
        <v>177</v>
      </c>
      <c r="I15" s="397">
        <v>491</v>
      </c>
      <c r="J15" s="397" t="s">
        <v>458</v>
      </c>
      <c r="K15" s="397" t="s">
        <v>107</v>
      </c>
      <c r="L15" s="397" t="s">
        <v>108</v>
      </c>
      <c r="M15" s="397">
        <v>11</v>
      </c>
      <c r="N15" s="397" t="s">
        <v>109</v>
      </c>
      <c r="O15" s="397">
        <v>2</v>
      </c>
      <c r="P15" s="397" t="s">
        <v>110</v>
      </c>
      <c r="R15" s="397" t="s">
        <v>459</v>
      </c>
      <c r="S15" s="398">
        <v>233</v>
      </c>
      <c r="T15" s="398">
        <v>133</v>
      </c>
      <c r="U15" s="398"/>
      <c r="V15" s="397" t="s">
        <v>200</v>
      </c>
      <c r="W15" s="397" t="s">
        <v>114</v>
      </c>
      <c r="X15" s="397" t="s">
        <v>115</v>
      </c>
      <c r="AA15" s="397" t="s">
        <v>424</v>
      </c>
      <c r="AB15" s="397" t="s">
        <v>425</v>
      </c>
      <c r="AE15" s="402">
        <v>6910000</v>
      </c>
      <c r="AF15" s="397" t="s">
        <v>116</v>
      </c>
      <c r="AM15" s="397" t="s">
        <v>117</v>
      </c>
      <c r="AN15" s="397" t="s">
        <v>109</v>
      </c>
      <c r="AO15" s="397" t="s">
        <v>118</v>
      </c>
      <c r="AP15" s="397" t="s">
        <v>119</v>
      </c>
      <c r="AQ15" s="397">
        <v>4</v>
      </c>
      <c r="AR15" s="397" t="s">
        <v>120</v>
      </c>
      <c r="AS15" s="397" t="s">
        <v>348</v>
      </c>
      <c r="AT15" s="397" t="s">
        <v>428</v>
      </c>
      <c r="AU15" s="397" t="s">
        <v>429</v>
      </c>
      <c r="AV15" s="402">
        <v>5527620</v>
      </c>
      <c r="AW15" s="397" t="s">
        <v>426</v>
      </c>
      <c r="AX15" s="397" t="s">
        <v>122</v>
      </c>
      <c r="AY15" s="397" t="s">
        <v>460</v>
      </c>
      <c r="BJ15" s="397" t="s">
        <v>319</v>
      </c>
      <c r="BK15" s="397" t="s">
        <v>448</v>
      </c>
      <c r="BQ15" s="397">
        <v>100</v>
      </c>
      <c r="BR15" s="397" t="s">
        <v>449</v>
      </c>
      <c r="BT15" s="397" t="s">
        <v>461</v>
      </c>
      <c r="BU15" s="397" t="s">
        <v>461</v>
      </c>
      <c r="BV15" s="397" t="s">
        <v>462</v>
      </c>
      <c r="BW15" s="397" t="s">
        <v>463</v>
      </c>
      <c r="BX15" s="397" t="s">
        <v>464</v>
      </c>
      <c r="BY15" s="397" t="s">
        <v>465</v>
      </c>
      <c r="CD15" s="397" t="s">
        <v>131</v>
      </c>
      <c r="CE15" s="397" t="s">
        <v>132</v>
      </c>
      <c r="CF15" s="397" t="s">
        <v>364</v>
      </c>
      <c r="CJ15" s="397" t="s">
        <v>466</v>
      </c>
      <c r="CK15" s="397" t="s">
        <v>467</v>
      </c>
      <c r="CL15" s="397" t="s">
        <v>136</v>
      </c>
      <c r="CM15" s="397" t="s">
        <v>137</v>
      </c>
      <c r="CN15" s="397" t="s">
        <v>468</v>
      </c>
      <c r="CO15" s="397" t="s">
        <v>139</v>
      </c>
      <c r="CR15" s="397" t="s">
        <v>140</v>
      </c>
      <c r="CW15" s="402">
        <f t="shared" si="1"/>
        <v>59785.984549356232</v>
      </c>
      <c r="CX15" s="397">
        <f t="shared" si="2"/>
        <v>13930134.400000002</v>
      </c>
      <c r="DA15" s="399">
        <f>AE15+AV15</f>
        <v>12437620</v>
      </c>
      <c r="DB15" s="397" t="str">
        <f t="shared" si="3"/>
        <v>B5 L5</v>
      </c>
      <c r="DC15" s="397">
        <f>DA15/S15</f>
        <v>53380.343347639486</v>
      </c>
    </row>
    <row r="16" spans="1:107" x14ac:dyDescent="0.35">
      <c r="A16" s="397" t="str">
        <f t="shared" si="0"/>
        <v>A-B2-L13</v>
      </c>
      <c r="B16" s="397" t="s">
        <v>100</v>
      </c>
      <c r="C16" s="397" t="s">
        <v>101</v>
      </c>
      <c r="D16" s="397" t="s">
        <v>344</v>
      </c>
      <c r="E16" s="397" t="s">
        <v>345</v>
      </c>
      <c r="F16" s="397" t="s">
        <v>217</v>
      </c>
      <c r="G16" s="397" t="s">
        <v>217</v>
      </c>
      <c r="H16" s="397" t="s">
        <v>218</v>
      </c>
      <c r="S16" s="398">
        <f>'[4]3- Unit Pricing'!$E$48</f>
        <v>252</v>
      </c>
      <c r="V16" s="397" t="s">
        <v>113</v>
      </c>
      <c r="AE16" s="402">
        <v>8300000</v>
      </c>
      <c r="DB16" s="397" t="str">
        <f t="shared" si="3"/>
        <v>B2 L13</v>
      </c>
    </row>
    <row r="17" spans="1:106" x14ac:dyDescent="0.35">
      <c r="A17" s="397" t="str">
        <f t="shared" si="0"/>
        <v>A-B2-L11</v>
      </c>
      <c r="B17" s="397" t="s">
        <v>100</v>
      </c>
      <c r="C17" s="397" t="s">
        <v>101</v>
      </c>
      <c r="D17" s="397" t="s">
        <v>344</v>
      </c>
      <c r="E17" s="397" t="s">
        <v>345</v>
      </c>
      <c r="F17" s="397" t="s">
        <v>217</v>
      </c>
      <c r="G17" s="397" t="s">
        <v>217</v>
      </c>
      <c r="H17" s="397" t="s">
        <v>105</v>
      </c>
      <c r="S17" s="398">
        <f>'[4]3- Unit Pricing'!$E$46</f>
        <v>252</v>
      </c>
      <c r="V17" s="397" t="s">
        <v>113</v>
      </c>
      <c r="AE17" s="402">
        <v>8300000</v>
      </c>
      <c r="AW17" s="400"/>
      <c r="DB17" s="397" t="str">
        <f t="shared" si="3"/>
        <v>B2 L11</v>
      </c>
    </row>
    <row r="18" spans="1:106" x14ac:dyDescent="0.35">
      <c r="A18" s="397" t="str">
        <f t="shared" si="0"/>
        <v>A-B2-L9</v>
      </c>
      <c r="B18" s="397" t="s">
        <v>100</v>
      </c>
      <c r="C18" s="397" t="s">
        <v>101</v>
      </c>
      <c r="D18" s="397" t="s">
        <v>344</v>
      </c>
      <c r="E18" s="397" t="s">
        <v>345</v>
      </c>
      <c r="F18" s="397" t="s">
        <v>217</v>
      </c>
      <c r="G18" s="397" t="s">
        <v>217</v>
      </c>
      <c r="H18" s="397" t="s">
        <v>148</v>
      </c>
      <c r="S18" s="398">
        <f>'[4]3- Unit Pricing'!$E$44</f>
        <v>252</v>
      </c>
      <c r="V18" s="397" t="s">
        <v>113</v>
      </c>
      <c r="AE18" s="402">
        <v>8300000</v>
      </c>
      <c r="AW18" s="400"/>
      <c r="DB18" s="397" t="str">
        <f>G18&amp;" "&amp;H18</f>
        <v>B2 L9</v>
      </c>
    </row>
    <row r="19" spans="1:106" x14ac:dyDescent="0.35">
      <c r="A19" s="397" t="str">
        <f t="shared" si="0"/>
        <v>A-B2-L7</v>
      </c>
      <c r="B19" s="397" t="s">
        <v>100</v>
      </c>
      <c r="C19" s="397" t="s">
        <v>101</v>
      </c>
      <c r="D19" s="397" t="s">
        <v>344</v>
      </c>
      <c r="E19" s="397" t="s">
        <v>345</v>
      </c>
      <c r="F19" s="397" t="s">
        <v>217</v>
      </c>
      <c r="G19" s="397" t="s">
        <v>217</v>
      </c>
      <c r="H19" s="397" t="s">
        <v>362</v>
      </c>
      <c r="S19" s="398">
        <f>'[4]3- Unit Pricing'!$E$42</f>
        <v>252</v>
      </c>
      <c r="V19" s="397" t="s">
        <v>113</v>
      </c>
      <c r="AE19" s="402">
        <v>8300000</v>
      </c>
      <c r="AW19" s="400"/>
      <c r="DB19" s="397" t="str">
        <f t="shared" ref="DB19:DB26" si="4">G19&amp;" "&amp;H19</f>
        <v>B2 L7</v>
      </c>
    </row>
    <row r="20" spans="1:106" x14ac:dyDescent="0.35">
      <c r="A20" s="397" t="str">
        <f t="shared" si="0"/>
        <v>A-B3-L16</v>
      </c>
      <c r="B20" s="397" t="s">
        <v>100</v>
      </c>
      <c r="C20" s="397" t="s">
        <v>101</v>
      </c>
      <c r="D20" s="397" t="s">
        <v>344</v>
      </c>
      <c r="E20" s="397" t="s">
        <v>345</v>
      </c>
      <c r="F20" s="397" t="s">
        <v>674</v>
      </c>
      <c r="G20" s="397" t="s">
        <v>674</v>
      </c>
      <c r="H20" s="397" t="s">
        <v>292</v>
      </c>
      <c r="S20" s="398">
        <f>'[4]3- Unit Pricing'!$E$67</f>
        <v>216</v>
      </c>
      <c r="V20" s="397" t="s">
        <v>113</v>
      </c>
      <c r="AE20" s="402">
        <v>8180000</v>
      </c>
      <c r="AW20" s="400"/>
      <c r="DB20" s="397" t="str">
        <f t="shared" si="4"/>
        <v>B3 L16</v>
      </c>
    </row>
    <row r="21" spans="1:106" x14ac:dyDescent="0.35">
      <c r="A21" s="397" t="str">
        <f t="shared" si="0"/>
        <v>A-B3-L14</v>
      </c>
      <c r="B21" s="397" t="s">
        <v>100</v>
      </c>
      <c r="C21" s="397" t="s">
        <v>101</v>
      </c>
      <c r="D21" s="397" t="s">
        <v>344</v>
      </c>
      <c r="E21" s="397" t="s">
        <v>345</v>
      </c>
      <c r="F21" s="397" t="s">
        <v>674</v>
      </c>
      <c r="G21" s="397" t="s">
        <v>674</v>
      </c>
      <c r="H21" s="397" t="s">
        <v>241</v>
      </c>
      <c r="S21" s="398">
        <f>'[4]3- Unit Pricing'!$E$65</f>
        <v>216</v>
      </c>
      <c r="V21" s="397" t="s">
        <v>113</v>
      </c>
      <c r="AE21" s="402">
        <v>8180000</v>
      </c>
      <c r="AW21" s="400"/>
      <c r="DB21" s="397" t="str">
        <f t="shared" si="4"/>
        <v>B3 L14</v>
      </c>
    </row>
    <row r="22" spans="1:106" x14ac:dyDescent="0.35">
      <c r="A22" s="397" t="str">
        <f t="shared" si="0"/>
        <v>A-B3-L12</v>
      </c>
      <c r="B22" s="397" t="s">
        <v>100</v>
      </c>
      <c r="C22" s="397" t="s">
        <v>101</v>
      </c>
      <c r="D22" s="397" t="s">
        <v>344</v>
      </c>
      <c r="E22" s="397" t="s">
        <v>345</v>
      </c>
      <c r="F22" s="397" t="s">
        <v>674</v>
      </c>
      <c r="G22" s="397" t="s">
        <v>674</v>
      </c>
      <c r="H22" s="397" t="s">
        <v>329</v>
      </c>
      <c r="S22" s="398">
        <f>'[4]3- Unit Pricing'!$E$63</f>
        <v>216</v>
      </c>
      <c r="V22" s="397" t="s">
        <v>113</v>
      </c>
      <c r="AE22" s="402">
        <v>8180000</v>
      </c>
      <c r="AW22" s="400"/>
      <c r="DB22" s="397" t="str">
        <f t="shared" si="4"/>
        <v>B3 L12</v>
      </c>
    </row>
    <row r="23" spans="1:106" x14ac:dyDescent="0.35">
      <c r="A23" s="397" t="str">
        <f t="shared" si="0"/>
        <v>A-B3-L10</v>
      </c>
      <c r="B23" s="397" t="s">
        <v>100</v>
      </c>
      <c r="C23" s="397" t="s">
        <v>101</v>
      </c>
      <c r="D23" s="397" t="s">
        <v>344</v>
      </c>
      <c r="E23" s="397" t="s">
        <v>345</v>
      </c>
      <c r="F23" s="397" t="s">
        <v>674</v>
      </c>
      <c r="G23" s="397" t="s">
        <v>674</v>
      </c>
      <c r="H23" s="397" t="s">
        <v>427</v>
      </c>
      <c r="S23" s="398">
        <f>'[4]3- Unit Pricing'!$E$61</f>
        <v>216</v>
      </c>
      <c r="V23" s="397" t="s">
        <v>113</v>
      </c>
      <c r="AE23" s="402">
        <v>8180000</v>
      </c>
      <c r="AW23" s="400"/>
      <c r="DB23" s="397" t="str">
        <f t="shared" si="4"/>
        <v>B3 L10</v>
      </c>
    </row>
    <row r="24" spans="1:106" x14ac:dyDescent="0.35">
      <c r="A24" s="397" t="str">
        <f t="shared" si="0"/>
        <v>A-B3-L8</v>
      </c>
      <c r="B24" s="397" t="s">
        <v>100</v>
      </c>
      <c r="C24" s="397" t="s">
        <v>101</v>
      </c>
      <c r="D24" s="397" t="s">
        <v>344</v>
      </c>
      <c r="E24" s="397" t="s">
        <v>345</v>
      </c>
      <c r="F24" s="397" t="s">
        <v>674</v>
      </c>
      <c r="G24" s="397" t="s">
        <v>674</v>
      </c>
      <c r="H24" s="397" t="s">
        <v>430</v>
      </c>
      <c r="S24" s="398">
        <f>'[4]3- Unit Pricing'!$E$59</f>
        <v>216</v>
      </c>
      <c r="V24" s="397" t="s">
        <v>113</v>
      </c>
      <c r="AE24" s="402">
        <v>8180000</v>
      </c>
      <c r="AW24" s="400"/>
      <c r="DB24" s="397" t="str">
        <f t="shared" si="4"/>
        <v>B3 L8</v>
      </c>
    </row>
    <row r="25" spans="1:106" s="401" customFormat="1" x14ac:dyDescent="0.35">
      <c r="A25" s="401" t="str">
        <f t="shared" si="0"/>
        <v>A-B3-L6</v>
      </c>
      <c r="B25" s="401" t="s">
        <v>100</v>
      </c>
      <c r="C25" s="401" t="s">
        <v>101</v>
      </c>
      <c r="D25" s="401" t="s">
        <v>344</v>
      </c>
      <c r="E25" s="401" t="s">
        <v>345</v>
      </c>
      <c r="F25" s="401" t="s">
        <v>674</v>
      </c>
      <c r="G25" s="401" t="s">
        <v>674</v>
      </c>
      <c r="H25" s="401" t="s">
        <v>183</v>
      </c>
      <c r="S25" s="398">
        <f>'[4]3- Unit Pricing'!$E$57</f>
        <v>216</v>
      </c>
      <c r="V25" s="401" t="s">
        <v>113</v>
      </c>
      <c r="AD25" s="402"/>
      <c r="AE25" s="402">
        <v>8180000</v>
      </c>
      <c r="AV25" s="402"/>
      <c r="AW25" s="403"/>
      <c r="DB25" s="401" t="str">
        <f t="shared" si="4"/>
        <v>B3 L6</v>
      </c>
    </row>
    <row r="26" spans="1:106" s="401" customFormat="1" x14ac:dyDescent="0.35">
      <c r="A26" s="401" t="str">
        <f t="shared" si="0"/>
        <v>A-B1-L21</v>
      </c>
      <c r="E26" s="401" t="s">
        <v>345</v>
      </c>
      <c r="F26" s="401" t="s">
        <v>104</v>
      </c>
      <c r="G26" s="401" t="s">
        <v>104</v>
      </c>
      <c r="H26" s="401" t="s">
        <v>677</v>
      </c>
      <c r="S26" s="401">
        <v>204</v>
      </c>
      <c r="V26" s="401" t="s">
        <v>113</v>
      </c>
      <c r="AD26" s="402"/>
      <c r="AE26" s="402">
        <v>7730000</v>
      </c>
      <c r="AV26" s="402">
        <v>0</v>
      </c>
      <c r="DB26" s="401" t="str">
        <f t="shared" si="4"/>
        <v>B1 L21</v>
      </c>
    </row>
    <row r="27" spans="1:106" s="401" customFormat="1" x14ac:dyDescent="0.35">
      <c r="A27" s="401" t="str">
        <f t="shared" si="0"/>
        <v>A-B1-L22</v>
      </c>
      <c r="E27" s="401" t="s">
        <v>345</v>
      </c>
      <c r="F27" s="401" t="s">
        <v>104</v>
      </c>
      <c r="G27" s="401" t="s">
        <v>104</v>
      </c>
      <c r="H27" s="401" t="s">
        <v>678</v>
      </c>
      <c r="S27" s="401">
        <v>366</v>
      </c>
      <c r="V27" s="401" t="s">
        <v>113</v>
      </c>
      <c r="AD27" s="402"/>
      <c r="AE27" s="402">
        <v>12650000</v>
      </c>
      <c r="AV27" s="402">
        <v>0</v>
      </c>
      <c r="DB27" s="401" t="str">
        <f>G27&amp;" "&amp;H27</f>
        <v>B1 L22</v>
      </c>
    </row>
    <row r="28" spans="1:106" s="401" customFormat="1" x14ac:dyDescent="0.35">
      <c r="A28" s="401" t="str">
        <f t="shared" si="0"/>
        <v>A-B3-L13</v>
      </c>
      <c r="E28" s="401" t="s">
        <v>345</v>
      </c>
      <c r="F28" s="401" t="s">
        <v>674</v>
      </c>
      <c r="G28" s="401" t="s">
        <v>674</v>
      </c>
      <c r="H28" s="401" t="s">
        <v>218</v>
      </c>
      <c r="S28" s="401">
        <v>240</v>
      </c>
      <c r="V28" s="401" t="s">
        <v>113</v>
      </c>
      <c r="AD28" s="402"/>
      <c r="AE28" s="402">
        <v>7910000</v>
      </c>
      <c r="AV28" s="402">
        <v>0</v>
      </c>
      <c r="DB28" s="401" t="str">
        <f>G28&amp;" "&amp;H28</f>
        <v>B3 L13</v>
      </c>
    </row>
    <row r="29" spans="1:106" s="401" customFormat="1" x14ac:dyDescent="0.35">
      <c r="A29" s="401" t="str">
        <f t="shared" si="0"/>
        <v>A-B4-L9</v>
      </c>
      <c r="E29" s="401" t="str">
        <f>E28</f>
        <v>THE ARBORAGE A</v>
      </c>
      <c r="F29" s="401" t="s">
        <v>196</v>
      </c>
      <c r="G29" s="401" t="s">
        <v>196</v>
      </c>
      <c r="H29" s="401" t="s">
        <v>148</v>
      </c>
      <c r="S29" s="398">
        <v>168</v>
      </c>
      <c r="T29" s="398">
        <v>179</v>
      </c>
      <c r="U29" s="398"/>
      <c r="V29" s="401" t="s">
        <v>200</v>
      </c>
      <c r="AD29" s="402">
        <v>0</v>
      </c>
      <c r="AE29" s="402">
        <v>5540000</v>
      </c>
      <c r="AV29" s="402">
        <v>6120400</v>
      </c>
      <c r="CW29" s="402"/>
      <c r="DA29" s="460"/>
      <c r="DB29" s="401" t="str">
        <f>G29&amp;" "&amp;H29</f>
        <v>B4 L9</v>
      </c>
    </row>
    <row r="30" spans="1:106" s="461" customFormat="1" ht="14.15" customHeight="1" x14ac:dyDescent="0.35">
      <c r="A30" s="461" t="s">
        <v>786</v>
      </c>
      <c r="B30" s="462"/>
      <c r="C30" s="462"/>
      <c r="D30" s="462"/>
      <c r="E30" s="462" t="s">
        <v>755</v>
      </c>
      <c r="F30" s="462">
        <v>1</v>
      </c>
      <c r="G30" s="462">
        <v>1</v>
      </c>
      <c r="H30" s="462">
        <v>1</v>
      </c>
      <c r="I30" s="462"/>
      <c r="J30" s="462"/>
      <c r="K30" s="462"/>
      <c r="L30" s="462"/>
      <c r="M30" s="462"/>
      <c r="N30" s="462"/>
      <c r="O30" s="462"/>
      <c r="P30" s="462"/>
      <c r="Q30" s="462"/>
      <c r="R30" s="462"/>
      <c r="S30" s="463">
        <v>204</v>
      </c>
      <c r="T30" s="462"/>
      <c r="U30" s="462"/>
      <c r="V30" s="462" t="s">
        <v>113</v>
      </c>
      <c r="W30" s="462"/>
      <c r="X30" s="462"/>
      <c r="Y30" s="462"/>
      <c r="Z30" s="462"/>
      <c r="AA30" s="462"/>
      <c r="AB30" s="462"/>
      <c r="AC30" s="462"/>
      <c r="AD30" s="464"/>
      <c r="AE30" s="465">
        <v>6513312</v>
      </c>
      <c r="AV30" s="465"/>
    </row>
    <row r="31" spans="1:106" x14ac:dyDescent="0.35">
      <c r="A31" s="397" t="s">
        <v>787</v>
      </c>
      <c r="B31" s="404"/>
      <c r="C31" s="404"/>
      <c r="D31" s="404"/>
      <c r="E31" s="404" t="s">
        <v>755</v>
      </c>
      <c r="F31" s="404">
        <v>1</v>
      </c>
      <c r="G31" s="404">
        <v>1</v>
      </c>
      <c r="H31" s="404">
        <v>2</v>
      </c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5">
        <v>208</v>
      </c>
      <c r="T31" s="404"/>
      <c r="U31" s="404"/>
      <c r="V31" s="404" t="s">
        <v>113</v>
      </c>
      <c r="W31" s="404"/>
      <c r="X31" s="404"/>
      <c r="Y31" s="404"/>
      <c r="Z31" s="404"/>
      <c r="AA31" s="404"/>
      <c r="AB31" s="404"/>
      <c r="AC31" s="404"/>
      <c r="AD31" s="406"/>
      <c r="AE31" s="402">
        <v>6297824</v>
      </c>
    </row>
    <row r="32" spans="1:106" x14ac:dyDescent="0.35">
      <c r="A32" s="397" t="s">
        <v>788</v>
      </c>
      <c r="B32" s="404"/>
      <c r="C32" s="404"/>
      <c r="D32" s="404"/>
      <c r="E32" s="404" t="s">
        <v>755</v>
      </c>
      <c r="F32" s="404">
        <v>1</v>
      </c>
      <c r="G32" s="404">
        <v>1</v>
      </c>
      <c r="H32" s="404">
        <v>3</v>
      </c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5">
        <v>213</v>
      </c>
      <c r="T32" s="404"/>
      <c r="U32" s="404"/>
      <c r="V32" s="404" t="s">
        <v>113</v>
      </c>
      <c r="W32" s="404"/>
      <c r="X32" s="404"/>
      <c r="Y32" s="404"/>
      <c r="Z32" s="404"/>
      <c r="AA32" s="404"/>
      <c r="AB32" s="404"/>
      <c r="AC32" s="404"/>
      <c r="AD32" s="406"/>
      <c r="AE32" s="402">
        <v>6449214</v>
      </c>
    </row>
    <row r="33" spans="1:31" x14ac:dyDescent="0.35">
      <c r="A33" s="397" t="s">
        <v>789</v>
      </c>
      <c r="B33" s="404"/>
      <c r="C33" s="404"/>
      <c r="D33" s="404"/>
      <c r="E33" s="404" t="s">
        <v>755</v>
      </c>
      <c r="F33" s="404">
        <v>1</v>
      </c>
      <c r="G33" s="404">
        <v>1</v>
      </c>
      <c r="H33" s="404">
        <v>4</v>
      </c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5">
        <v>217</v>
      </c>
      <c r="T33" s="404"/>
      <c r="U33" s="404"/>
      <c r="V33" s="404" t="s">
        <v>113</v>
      </c>
      <c r="W33" s="404"/>
      <c r="X33" s="404"/>
      <c r="Y33" s="404"/>
      <c r="Z33" s="404"/>
      <c r="AA33" s="404"/>
      <c r="AB33" s="404"/>
      <c r="AC33" s="404"/>
      <c r="AD33" s="406"/>
      <c r="AE33" s="402">
        <v>6570326</v>
      </c>
    </row>
    <row r="34" spans="1:31" x14ac:dyDescent="0.35">
      <c r="A34" s="397" t="s">
        <v>790</v>
      </c>
      <c r="B34" s="404"/>
      <c r="C34" s="404"/>
      <c r="D34" s="404"/>
      <c r="E34" s="404" t="s">
        <v>755</v>
      </c>
      <c r="F34" s="404">
        <v>1</v>
      </c>
      <c r="G34" s="404">
        <v>1</v>
      </c>
      <c r="H34" s="404">
        <v>5</v>
      </c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5">
        <v>221</v>
      </c>
      <c r="T34" s="404"/>
      <c r="U34" s="404"/>
      <c r="V34" s="404" t="s">
        <v>113</v>
      </c>
      <c r="W34" s="404"/>
      <c r="X34" s="404"/>
      <c r="Y34" s="404"/>
      <c r="Z34" s="404"/>
      <c r="AA34" s="404"/>
      <c r="AB34" s="404"/>
      <c r="AC34" s="404"/>
      <c r="AD34" s="406"/>
      <c r="AE34" s="402">
        <v>6691438</v>
      </c>
    </row>
    <row r="35" spans="1:31" x14ac:dyDescent="0.35">
      <c r="A35" s="397" t="s">
        <v>791</v>
      </c>
      <c r="B35" s="404"/>
      <c r="C35" s="404"/>
      <c r="D35" s="404"/>
      <c r="E35" s="404" t="s">
        <v>755</v>
      </c>
      <c r="F35" s="404">
        <v>1</v>
      </c>
      <c r="G35" s="404">
        <v>1</v>
      </c>
      <c r="H35" s="404">
        <v>6</v>
      </c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5">
        <v>225</v>
      </c>
      <c r="T35" s="404"/>
      <c r="U35" s="404"/>
      <c r="V35" s="404" t="s">
        <v>113</v>
      </c>
      <c r="W35" s="404"/>
      <c r="X35" s="404"/>
      <c r="Y35" s="404"/>
      <c r="Z35" s="404"/>
      <c r="AA35" s="404"/>
      <c r="AB35" s="404"/>
      <c r="AC35" s="404"/>
      <c r="AD35" s="406"/>
      <c r="AE35" s="402">
        <v>6812550</v>
      </c>
    </row>
    <row r="36" spans="1:31" x14ac:dyDescent="0.35">
      <c r="A36" s="397" t="s">
        <v>792</v>
      </c>
      <c r="B36" s="404"/>
      <c r="C36" s="404"/>
      <c r="D36" s="404"/>
      <c r="E36" s="404" t="s">
        <v>755</v>
      </c>
      <c r="F36" s="404">
        <v>1</v>
      </c>
      <c r="G36" s="404">
        <v>1</v>
      </c>
      <c r="H36" s="404">
        <v>7</v>
      </c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5">
        <v>229</v>
      </c>
      <c r="T36" s="404"/>
      <c r="U36" s="404"/>
      <c r="V36" s="404" t="s">
        <v>113</v>
      </c>
      <c r="W36" s="404"/>
      <c r="X36" s="404"/>
      <c r="Y36" s="404"/>
      <c r="Z36" s="404"/>
      <c r="AA36" s="404"/>
      <c r="AB36" s="404"/>
      <c r="AC36" s="404"/>
      <c r="AD36" s="406"/>
      <c r="AE36" s="402">
        <v>6933662</v>
      </c>
    </row>
    <row r="37" spans="1:31" x14ac:dyDescent="0.35">
      <c r="A37" s="397" t="s">
        <v>793</v>
      </c>
      <c r="B37" s="404"/>
      <c r="C37" s="404"/>
      <c r="D37" s="404"/>
      <c r="E37" s="404" t="s">
        <v>755</v>
      </c>
      <c r="F37" s="404">
        <v>1</v>
      </c>
      <c r="G37" s="404">
        <v>1</v>
      </c>
      <c r="H37" s="404">
        <v>8</v>
      </c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5">
        <v>233</v>
      </c>
      <c r="T37" s="404"/>
      <c r="U37" s="404"/>
      <c r="V37" s="404" t="s">
        <v>113</v>
      </c>
      <c r="W37" s="404"/>
      <c r="X37" s="404"/>
      <c r="Y37" s="404"/>
      <c r="Z37" s="404"/>
      <c r="AA37" s="404"/>
      <c r="AB37" s="404"/>
      <c r="AC37" s="404"/>
      <c r="AD37" s="406"/>
      <c r="AE37" s="402">
        <v>7054774</v>
      </c>
    </row>
    <row r="38" spans="1:31" x14ac:dyDescent="0.35">
      <c r="A38" s="397" t="s">
        <v>794</v>
      </c>
      <c r="B38" s="404"/>
      <c r="C38" s="404"/>
      <c r="D38" s="404"/>
      <c r="E38" s="404" t="s">
        <v>755</v>
      </c>
      <c r="F38" s="404">
        <v>1</v>
      </c>
      <c r="G38" s="404">
        <v>1</v>
      </c>
      <c r="H38" s="404">
        <v>9</v>
      </c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5">
        <v>237</v>
      </c>
      <c r="T38" s="404"/>
      <c r="U38" s="404"/>
      <c r="V38" s="404" t="s">
        <v>113</v>
      </c>
      <c r="W38" s="404"/>
      <c r="X38" s="404"/>
      <c r="Y38" s="404"/>
      <c r="Z38" s="404"/>
      <c r="AA38" s="404"/>
      <c r="AB38" s="404"/>
      <c r="AC38" s="404"/>
      <c r="AD38" s="406"/>
      <c r="AE38" s="402">
        <v>7175886</v>
      </c>
    </row>
    <row r="39" spans="1:31" x14ac:dyDescent="0.35">
      <c r="A39" s="397" t="s">
        <v>795</v>
      </c>
      <c r="B39" s="404"/>
      <c r="C39" s="404"/>
      <c r="D39" s="404"/>
      <c r="E39" s="404" t="s">
        <v>755</v>
      </c>
      <c r="F39" s="404">
        <v>1</v>
      </c>
      <c r="G39" s="404">
        <v>1</v>
      </c>
      <c r="H39" s="404">
        <v>10</v>
      </c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5">
        <v>242</v>
      </c>
      <c r="T39" s="404"/>
      <c r="U39" s="404"/>
      <c r="V39" s="404" t="s">
        <v>113</v>
      </c>
      <c r="W39" s="404"/>
      <c r="X39" s="404"/>
      <c r="Y39" s="404"/>
      <c r="Z39" s="404"/>
      <c r="AA39" s="404"/>
      <c r="AB39" s="404"/>
      <c r="AC39" s="404"/>
      <c r="AD39" s="406"/>
      <c r="AE39" s="402">
        <v>7327276</v>
      </c>
    </row>
    <row r="40" spans="1:31" x14ac:dyDescent="0.35">
      <c r="A40" s="397" t="s">
        <v>796</v>
      </c>
      <c r="B40" s="404"/>
      <c r="C40" s="404"/>
      <c r="D40" s="404"/>
      <c r="E40" s="404" t="s">
        <v>755</v>
      </c>
      <c r="F40" s="404">
        <v>1</v>
      </c>
      <c r="G40" s="404">
        <v>1</v>
      </c>
      <c r="H40" s="404">
        <v>11</v>
      </c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5">
        <v>246</v>
      </c>
      <c r="T40" s="404"/>
      <c r="U40" s="404"/>
      <c r="V40" s="404" t="s">
        <v>113</v>
      </c>
      <c r="W40" s="404"/>
      <c r="X40" s="404"/>
      <c r="Y40" s="404"/>
      <c r="Z40" s="404"/>
      <c r="AA40" s="404"/>
      <c r="AB40" s="404"/>
      <c r="AC40" s="404"/>
      <c r="AD40" s="406"/>
      <c r="AE40" s="402">
        <v>5827248</v>
      </c>
    </row>
    <row r="41" spans="1:31" x14ac:dyDescent="0.35">
      <c r="A41" s="397" t="s">
        <v>797</v>
      </c>
      <c r="B41" s="404"/>
      <c r="C41" s="404"/>
      <c r="D41" s="404"/>
      <c r="E41" s="404" t="s">
        <v>755</v>
      </c>
      <c r="F41" s="404">
        <v>1</v>
      </c>
      <c r="G41" s="404">
        <v>1</v>
      </c>
      <c r="H41" s="404">
        <v>12</v>
      </c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5">
        <v>398</v>
      </c>
      <c r="T41" s="404"/>
      <c r="U41" s="404"/>
      <c r="V41" s="404" t="s">
        <v>113</v>
      </c>
      <c r="W41" s="404"/>
      <c r="X41" s="404"/>
      <c r="Y41" s="404"/>
      <c r="Z41" s="404"/>
      <c r="AA41" s="404"/>
      <c r="AB41" s="404"/>
      <c r="AC41" s="404"/>
      <c r="AD41" s="406"/>
      <c r="AE41" s="402">
        <v>11393944</v>
      </c>
    </row>
    <row r="42" spans="1:31" x14ac:dyDescent="0.35">
      <c r="A42" s="397" t="s">
        <v>798</v>
      </c>
      <c r="B42" s="404"/>
      <c r="C42" s="404"/>
      <c r="D42" s="404"/>
      <c r="E42" s="404" t="s">
        <v>755</v>
      </c>
      <c r="F42" s="404">
        <v>1</v>
      </c>
      <c r="G42" s="404">
        <v>1</v>
      </c>
      <c r="H42" s="404">
        <v>13</v>
      </c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5">
        <v>326</v>
      </c>
      <c r="T42" s="404"/>
      <c r="U42" s="404"/>
      <c r="V42" s="404" t="s">
        <v>113</v>
      </c>
      <c r="W42" s="404"/>
      <c r="X42" s="404"/>
      <c r="Y42" s="404"/>
      <c r="Z42" s="404"/>
      <c r="AA42" s="404"/>
      <c r="AB42" s="404"/>
      <c r="AC42" s="404"/>
      <c r="AD42" s="406"/>
      <c r="AE42" s="402">
        <v>12022228</v>
      </c>
    </row>
    <row r="43" spans="1:31" x14ac:dyDescent="0.35">
      <c r="A43" s="397" t="s">
        <v>799</v>
      </c>
      <c r="B43" s="404"/>
      <c r="C43" s="404"/>
      <c r="D43" s="404"/>
      <c r="E43" s="404" t="s">
        <v>755</v>
      </c>
      <c r="F43" s="404">
        <v>1</v>
      </c>
      <c r="G43" s="404">
        <v>1</v>
      </c>
      <c r="H43" s="404">
        <v>14</v>
      </c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5">
        <v>216</v>
      </c>
      <c r="T43" s="404"/>
      <c r="U43" s="404"/>
      <c r="V43" s="404" t="s">
        <v>113</v>
      </c>
      <c r="W43" s="404"/>
      <c r="X43" s="404"/>
      <c r="Y43" s="404"/>
      <c r="Z43" s="404"/>
      <c r="AA43" s="404"/>
      <c r="AB43" s="404"/>
      <c r="AC43" s="404"/>
      <c r="AD43" s="406"/>
      <c r="AE43" s="402">
        <v>7252848</v>
      </c>
    </row>
    <row r="44" spans="1:31" x14ac:dyDescent="0.35">
      <c r="A44" s="397" t="s">
        <v>800</v>
      </c>
      <c r="B44" s="404"/>
      <c r="C44" s="404"/>
      <c r="D44" s="404"/>
      <c r="E44" s="404" t="s">
        <v>755</v>
      </c>
      <c r="F44" s="404">
        <v>1</v>
      </c>
      <c r="G44" s="404">
        <v>1</v>
      </c>
      <c r="H44" s="404">
        <v>15</v>
      </c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5">
        <v>216</v>
      </c>
      <c r="T44" s="404"/>
      <c r="U44" s="404"/>
      <c r="V44" s="404" t="s">
        <v>113</v>
      </c>
      <c r="W44" s="404"/>
      <c r="X44" s="404"/>
      <c r="Y44" s="404"/>
      <c r="Z44" s="404"/>
      <c r="AA44" s="404"/>
      <c r="AB44" s="404"/>
      <c r="AC44" s="404"/>
      <c r="AD44" s="406"/>
      <c r="AE44" s="402">
        <v>7252848</v>
      </c>
    </row>
    <row r="45" spans="1:31" x14ac:dyDescent="0.35">
      <c r="A45" s="397" t="s">
        <v>801</v>
      </c>
      <c r="B45" s="404"/>
      <c r="C45" s="404"/>
      <c r="D45" s="404"/>
      <c r="E45" s="404" t="s">
        <v>755</v>
      </c>
      <c r="F45" s="404">
        <v>1</v>
      </c>
      <c r="G45" s="404">
        <v>1</v>
      </c>
      <c r="H45" s="404">
        <v>16</v>
      </c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5">
        <v>216</v>
      </c>
      <c r="T45" s="404"/>
      <c r="U45" s="404"/>
      <c r="V45" s="404" t="s">
        <v>113</v>
      </c>
      <c r="W45" s="404"/>
      <c r="X45" s="404"/>
      <c r="Y45" s="404"/>
      <c r="Z45" s="404"/>
      <c r="AA45" s="404"/>
      <c r="AB45" s="404"/>
      <c r="AC45" s="404"/>
      <c r="AD45" s="406"/>
      <c r="AE45" s="402">
        <v>5829408</v>
      </c>
    </row>
    <row r="46" spans="1:31" x14ac:dyDescent="0.35">
      <c r="A46" s="397" t="s">
        <v>802</v>
      </c>
      <c r="B46" s="404"/>
      <c r="C46" s="404"/>
      <c r="D46" s="404"/>
      <c r="E46" s="404" t="s">
        <v>755</v>
      </c>
      <c r="F46" s="404">
        <v>1</v>
      </c>
      <c r="G46" s="404">
        <v>1</v>
      </c>
      <c r="H46" s="404">
        <v>17</v>
      </c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5">
        <v>216</v>
      </c>
      <c r="T46" s="404"/>
      <c r="U46" s="404"/>
      <c r="V46" s="404" t="s">
        <v>113</v>
      </c>
      <c r="W46" s="404"/>
      <c r="X46" s="404"/>
      <c r="Y46" s="404"/>
      <c r="Z46" s="404"/>
      <c r="AA46" s="404"/>
      <c r="AB46" s="404"/>
      <c r="AC46" s="404"/>
      <c r="AD46" s="406"/>
      <c r="AE46" s="402">
        <v>7252848</v>
      </c>
    </row>
    <row r="47" spans="1:31" x14ac:dyDescent="0.35">
      <c r="A47" s="397" t="s">
        <v>803</v>
      </c>
      <c r="B47" s="404"/>
      <c r="C47" s="404"/>
      <c r="D47" s="404"/>
      <c r="E47" s="404" t="s">
        <v>755</v>
      </c>
      <c r="F47" s="404">
        <v>1</v>
      </c>
      <c r="G47" s="404">
        <v>1</v>
      </c>
      <c r="H47" s="404">
        <v>18</v>
      </c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5">
        <v>216</v>
      </c>
      <c r="T47" s="404"/>
      <c r="U47" s="404"/>
      <c r="V47" s="404" t="s">
        <v>113</v>
      </c>
      <c r="W47" s="404"/>
      <c r="X47" s="404"/>
      <c r="Y47" s="404"/>
      <c r="Z47" s="404"/>
      <c r="AA47" s="404"/>
      <c r="AB47" s="404"/>
      <c r="AC47" s="404"/>
      <c r="AD47" s="406"/>
      <c r="AE47" s="402">
        <v>7252848</v>
      </c>
    </row>
    <row r="48" spans="1:31" x14ac:dyDescent="0.35">
      <c r="A48" s="397" t="s">
        <v>804</v>
      </c>
      <c r="B48" s="404"/>
      <c r="C48" s="404"/>
      <c r="D48" s="404"/>
      <c r="E48" s="404" t="s">
        <v>755</v>
      </c>
      <c r="F48" s="404">
        <v>1</v>
      </c>
      <c r="G48" s="404">
        <v>1</v>
      </c>
      <c r="H48" s="404">
        <v>19</v>
      </c>
      <c r="I48" s="404"/>
      <c r="J48" s="404"/>
      <c r="K48" s="404"/>
      <c r="L48" s="404"/>
      <c r="M48" s="404"/>
      <c r="N48" s="404"/>
      <c r="O48" s="404"/>
      <c r="P48" s="404"/>
      <c r="Q48" s="404"/>
      <c r="R48" s="404"/>
      <c r="S48" s="405">
        <v>216</v>
      </c>
      <c r="T48" s="404"/>
      <c r="U48" s="404"/>
      <c r="V48" s="404" t="s">
        <v>113</v>
      </c>
      <c r="W48" s="404"/>
      <c r="X48" s="404"/>
      <c r="Y48" s="404"/>
      <c r="Z48" s="404"/>
      <c r="AA48" s="404"/>
      <c r="AB48" s="404"/>
      <c r="AC48" s="404"/>
      <c r="AD48" s="406"/>
      <c r="AE48" s="402">
        <v>7252848</v>
      </c>
    </row>
    <row r="49" spans="1:31" x14ac:dyDescent="0.35">
      <c r="A49" s="397" t="s">
        <v>805</v>
      </c>
      <c r="B49" s="404"/>
      <c r="C49" s="404"/>
      <c r="D49" s="404"/>
      <c r="E49" s="404" t="s">
        <v>755</v>
      </c>
      <c r="F49" s="404">
        <v>1</v>
      </c>
      <c r="G49" s="404">
        <v>1</v>
      </c>
      <c r="H49" s="404">
        <v>20</v>
      </c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5">
        <v>216</v>
      </c>
      <c r="T49" s="404"/>
      <c r="U49" s="404"/>
      <c r="V49" s="404" t="s">
        <v>113</v>
      </c>
      <c r="W49" s="404"/>
      <c r="X49" s="404"/>
      <c r="Y49" s="404"/>
      <c r="Z49" s="404"/>
      <c r="AA49" s="404"/>
      <c r="AB49" s="404"/>
      <c r="AC49" s="404"/>
      <c r="AD49" s="406"/>
      <c r="AE49" s="402">
        <v>5829408</v>
      </c>
    </row>
    <row r="50" spans="1:31" x14ac:dyDescent="0.35">
      <c r="A50" s="397" t="s">
        <v>806</v>
      </c>
      <c r="B50" s="404"/>
      <c r="C50" s="404"/>
      <c r="D50" s="404"/>
      <c r="E50" s="404" t="s">
        <v>755</v>
      </c>
      <c r="F50" s="404">
        <v>1</v>
      </c>
      <c r="G50" s="404">
        <v>1</v>
      </c>
      <c r="H50" s="404">
        <v>21</v>
      </c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5">
        <v>216</v>
      </c>
      <c r="T50" s="404"/>
      <c r="U50" s="404"/>
      <c r="V50" s="404" t="s">
        <v>113</v>
      </c>
      <c r="W50" s="404"/>
      <c r="X50" s="404"/>
      <c r="Y50" s="404"/>
      <c r="Z50" s="404"/>
      <c r="AA50" s="404"/>
      <c r="AB50" s="404"/>
      <c r="AC50" s="404"/>
      <c r="AD50" s="406"/>
      <c r="AE50" s="402">
        <v>7252848</v>
      </c>
    </row>
    <row r="51" spans="1:31" x14ac:dyDescent="0.35">
      <c r="A51" s="397" t="s">
        <v>807</v>
      </c>
      <c r="B51" s="404"/>
      <c r="C51" s="404"/>
      <c r="D51" s="404"/>
      <c r="E51" s="404" t="s">
        <v>755</v>
      </c>
      <c r="F51" s="404">
        <v>1</v>
      </c>
      <c r="G51" s="404">
        <v>1</v>
      </c>
      <c r="H51" s="404">
        <v>22</v>
      </c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5">
        <v>216</v>
      </c>
      <c r="T51" s="404"/>
      <c r="U51" s="404"/>
      <c r="V51" s="404" t="s">
        <v>113</v>
      </c>
      <c r="W51" s="404"/>
      <c r="X51" s="404"/>
      <c r="Y51" s="404"/>
      <c r="Z51" s="404"/>
      <c r="AA51" s="404"/>
      <c r="AB51" s="404"/>
      <c r="AC51" s="404"/>
      <c r="AD51" s="406"/>
      <c r="AE51" s="402">
        <v>7252848</v>
      </c>
    </row>
    <row r="52" spans="1:31" x14ac:dyDescent="0.35">
      <c r="A52" s="397" t="s">
        <v>808</v>
      </c>
      <c r="B52" s="404"/>
      <c r="C52" s="404"/>
      <c r="D52" s="404"/>
      <c r="E52" s="404" t="s">
        <v>755</v>
      </c>
      <c r="F52" s="404">
        <v>1</v>
      </c>
      <c r="G52" s="404">
        <v>1</v>
      </c>
      <c r="H52" s="404">
        <v>23</v>
      </c>
      <c r="I52" s="404"/>
      <c r="J52" s="404"/>
      <c r="K52" s="404"/>
      <c r="L52" s="404"/>
      <c r="M52" s="404"/>
      <c r="N52" s="404"/>
      <c r="O52" s="404"/>
      <c r="P52" s="404"/>
      <c r="Q52" s="404"/>
      <c r="R52" s="404"/>
      <c r="S52" s="405">
        <v>216</v>
      </c>
      <c r="T52" s="404"/>
      <c r="U52" s="404"/>
      <c r="V52" s="404" t="s">
        <v>113</v>
      </c>
      <c r="W52" s="404"/>
      <c r="X52" s="404"/>
      <c r="Y52" s="404"/>
      <c r="Z52" s="404"/>
      <c r="AA52" s="404"/>
      <c r="AB52" s="404"/>
      <c r="AC52" s="404"/>
      <c r="AD52" s="406"/>
      <c r="AE52" s="402">
        <v>7252848</v>
      </c>
    </row>
    <row r="53" spans="1:31" x14ac:dyDescent="0.35">
      <c r="A53" s="397" t="s">
        <v>809</v>
      </c>
      <c r="B53" s="404"/>
      <c r="C53" s="404"/>
      <c r="D53" s="404"/>
      <c r="E53" s="404" t="s">
        <v>755</v>
      </c>
      <c r="F53" s="404">
        <v>1</v>
      </c>
      <c r="G53" s="404">
        <v>1</v>
      </c>
      <c r="H53" s="404">
        <v>24</v>
      </c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5">
        <v>216</v>
      </c>
      <c r="T53" s="404"/>
      <c r="U53" s="404"/>
      <c r="V53" s="404" t="s">
        <v>113</v>
      </c>
      <c r="W53" s="404"/>
      <c r="X53" s="404"/>
      <c r="Y53" s="404"/>
      <c r="Z53" s="404"/>
      <c r="AA53" s="404"/>
      <c r="AB53" s="404"/>
      <c r="AC53" s="404"/>
      <c r="AD53" s="406"/>
      <c r="AE53" s="402">
        <v>7252848</v>
      </c>
    </row>
    <row r="54" spans="1:31" x14ac:dyDescent="0.35">
      <c r="A54" s="397" t="s">
        <v>810</v>
      </c>
      <c r="B54" s="404"/>
      <c r="C54" s="404"/>
      <c r="D54" s="404"/>
      <c r="E54" s="404" t="s">
        <v>755</v>
      </c>
      <c r="F54" s="404">
        <v>1</v>
      </c>
      <c r="G54" s="404">
        <v>1</v>
      </c>
      <c r="H54" s="404">
        <v>25</v>
      </c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5">
        <v>216</v>
      </c>
      <c r="T54" s="404"/>
      <c r="U54" s="404"/>
      <c r="V54" s="404" t="s">
        <v>113</v>
      </c>
      <c r="W54" s="404"/>
      <c r="X54" s="404"/>
      <c r="Y54" s="404"/>
      <c r="Z54" s="404"/>
      <c r="AA54" s="404"/>
      <c r="AB54" s="404"/>
      <c r="AC54" s="404"/>
      <c r="AD54" s="406"/>
      <c r="AE54" s="402">
        <v>7252848</v>
      </c>
    </row>
    <row r="55" spans="1:31" x14ac:dyDescent="0.35">
      <c r="A55" s="397" t="s">
        <v>811</v>
      </c>
      <c r="B55" s="404"/>
      <c r="C55" s="404"/>
      <c r="D55" s="404"/>
      <c r="E55" s="404" t="s">
        <v>755</v>
      </c>
      <c r="F55" s="404">
        <v>1</v>
      </c>
      <c r="G55" s="404">
        <v>1</v>
      </c>
      <c r="H55" s="404">
        <v>26</v>
      </c>
      <c r="I55" s="404"/>
      <c r="J55" s="404"/>
      <c r="K55" s="404"/>
      <c r="L55" s="404"/>
      <c r="M55" s="404"/>
      <c r="N55" s="404"/>
      <c r="O55" s="404"/>
      <c r="P55" s="404"/>
      <c r="Q55" s="404"/>
      <c r="R55" s="404"/>
      <c r="S55" s="405">
        <v>403</v>
      </c>
      <c r="T55" s="404"/>
      <c r="U55" s="404"/>
      <c r="V55" s="404" t="s">
        <v>113</v>
      </c>
      <c r="W55" s="404"/>
      <c r="X55" s="404"/>
      <c r="Y55" s="404"/>
      <c r="Z55" s="404"/>
      <c r="AA55" s="404"/>
      <c r="AB55" s="404"/>
      <c r="AC55" s="404"/>
      <c r="AD55" s="406"/>
      <c r="AE55" s="402">
        <v>12866984</v>
      </c>
    </row>
    <row r="56" spans="1:31" x14ac:dyDescent="0.35">
      <c r="A56" s="397" t="s">
        <v>852</v>
      </c>
      <c r="B56" s="404"/>
      <c r="C56" s="404"/>
      <c r="D56" s="404"/>
      <c r="E56" s="404" t="s">
        <v>755</v>
      </c>
      <c r="F56" s="404">
        <v>1</v>
      </c>
      <c r="G56" s="404">
        <v>1</v>
      </c>
      <c r="H56" s="404">
        <v>27</v>
      </c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5">
        <v>442</v>
      </c>
      <c r="T56" s="404"/>
      <c r="U56" s="404"/>
      <c r="V56" s="404" t="s">
        <v>113</v>
      </c>
      <c r="W56" s="404"/>
      <c r="X56" s="404"/>
      <c r="Y56" s="404"/>
      <c r="Z56" s="404"/>
      <c r="AA56" s="404"/>
      <c r="AB56" s="404"/>
      <c r="AC56" s="404"/>
      <c r="AD56" s="406"/>
      <c r="AE56" s="402">
        <v>17754256</v>
      </c>
    </row>
    <row r="57" spans="1:31" x14ac:dyDescent="0.35">
      <c r="A57" s="397" t="s">
        <v>853</v>
      </c>
      <c r="B57" s="404"/>
      <c r="C57" s="404"/>
      <c r="D57" s="404"/>
      <c r="E57" s="404" t="s">
        <v>755</v>
      </c>
      <c r="F57" s="404">
        <v>1</v>
      </c>
      <c r="G57" s="404">
        <v>1</v>
      </c>
      <c r="H57" s="404">
        <v>28</v>
      </c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5">
        <v>293</v>
      </c>
      <c r="T57" s="404"/>
      <c r="U57" s="404"/>
      <c r="V57" s="404" t="s">
        <v>113</v>
      </c>
      <c r="W57" s="404"/>
      <c r="X57" s="404"/>
      <c r="Y57" s="404"/>
      <c r="Z57" s="404"/>
      <c r="AA57" s="404"/>
      <c r="AB57" s="404"/>
      <c r="AC57" s="404"/>
      <c r="AD57" s="406"/>
      <c r="AE57" s="402">
        <v>11285774</v>
      </c>
    </row>
    <row r="58" spans="1:31" x14ac:dyDescent="0.35">
      <c r="A58" s="397" t="s">
        <v>854</v>
      </c>
      <c r="B58" s="404"/>
      <c r="C58" s="404"/>
      <c r="D58" s="404"/>
      <c r="E58" s="404" t="s">
        <v>755</v>
      </c>
      <c r="F58" s="404">
        <v>1</v>
      </c>
      <c r="G58" s="404">
        <v>1</v>
      </c>
      <c r="H58" s="404">
        <v>29</v>
      </c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405">
        <v>278</v>
      </c>
      <c r="T58" s="404"/>
      <c r="U58" s="404"/>
      <c r="V58" s="404" t="s">
        <v>113</v>
      </c>
      <c r="W58" s="404"/>
      <c r="X58" s="404"/>
      <c r="Y58" s="404"/>
      <c r="Z58" s="404"/>
      <c r="AA58" s="404"/>
      <c r="AB58" s="404"/>
      <c r="AC58" s="404"/>
      <c r="AD58" s="406"/>
      <c r="AE58" s="402">
        <v>10708004</v>
      </c>
    </row>
    <row r="59" spans="1:31" x14ac:dyDescent="0.35">
      <c r="A59" s="397" t="s">
        <v>855</v>
      </c>
      <c r="B59" s="404"/>
      <c r="C59" s="404"/>
      <c r="D59" s="404"/>
      <c r="E59" s="404" t="s">
        <v>755</v>
      </c>
      <c r="F59" s="404">
        <v>1</v>
      </c>
      <c r="G59" s="404">
        <v>1</v>
      </c>
      <c r="H59" s="404">
        <v>30</v>
      </c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5">
        <v>262</v>
      </c>
      <c r="T59" s="404"/>
      <c r="U59" s="404"/>
      <c r="V59" s="404" t="s">
        <v>113</v>
      </c>
      <c r="W59" s="404"/>
      <c r="X59" s="404"/>
      <c r="Y59" s="404"/>
      <c r="Z59" s="404"/>
      <c r="AA59" s="404"/>
      <c r="AB59" s="404"/>
      <c r="AC59" s="404"/>
      <c r="AD59" s="406"/>
      <c r="AE59" s="402">
        <v>10091716</v>
      </c>
    </row>
    <row r="60" spans="1:31" x14ac:dyDescent="0.35">
      <c r="A60" s="397" t="s">
        <v>856</v>
      </c>
      <c r="B60" s="404"/>
      <c r="C60" s="404"/>
      <c r="D60" s="404"/>
      <c r="E60" s="404" t="s">
        <v>755</v>
      </c>
      <c r="F60" s="404">
        <v>1</v>
      </c>
      <c r="G60" s="404">
        <v>1</v>
      </c>
      <c r="H60" s="404">
        <v>31</v>
      </c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5">
        <v>247</v>
      </c>
      <c r="T60" s="404"/>
      <c r="U60" s="404"/>
      <c r="V60" s="404" t="s">
        <v>113</v>
      </c>
      <c r="W60" s="404"/>
      <c r="X60" s="404"/>
      <c r="Y60" s="404"/>
      <c r="Z60" s="404"/>
      <c r="AA60" s="404"/>
      <c r="AB60" s="404"/>
      <c r="AC60" s="404"/>
      <c r="AD60" s="406"/>
      <c r="AE60" s="402">
        <v>9513946</v>
      </c>
    </row>
    <row r="61" spans="1:31" x14ac:dyDescent="0.35">
      <c r="A61" s="397" t="s">
        <v>857</v>
      </c>
      <c r="B61" s="404"/>
      <c r="C61" s="404"/>
      <c r="D61" s="404"/>
      <c r="E61" s="404" t="s">
        <v>755</v>
      </c>
      <c r="F61" s="404">
        <v>1</v>
      </c>
      <c r="G61" s="404">
        <v>1</v>
      </c>
      <c r="H61" s="404">
        <v>32</v>
      </c>
      <c r="I61" s="404"/>
      <c r="J61" s="404"/>
      <c r="K61" s="404"/>
      <c r="L61" s="404"/>
      <c r="M61" s="404"/>
      <c r="N61" s="404"/>
      <c r="O61" s="404"/>
      <c r="P61" s="404"/>
      <c r="Q61" s="404"/>
      <c r="R61" s="404"/>
      <c r="S61" s="405">
        <v>231</v>
      </c>
      <c r="T61" s="404"/>
      <c r="U61" s="404"/>
      <c r="V61" s="404" t="s">
        <v>113</v>
      </c>
      <c r="W61" s="404"/>
      <c r="X61" s="404"/>
      <c r="Y61" s="404"/>
      <c r="Z61" s="404"/>
      <c r="AA61" s="404"/>
      <c r="AB61" s="404"/>
      <c r="AC61" s="404"/>
      <c r="AD61" s="406"/>
      <c r="AE61" s="402">
        <v>8897658</v>
      </c>
    </row>
    <row r="62" spans="1:31" x14ac:dyDescent="0.35">
      <c r="A62" s="397" t="s">
        <v>858</v>
      </c>
      <c r="B62" s="404"/>
      <c r="C62" s="404"/>
      <c r="D62" s="404"/>
      <c r="E62" s="404" t="s">
        <v>755</v>
      </c>
      <c r="F62" s="404">
        <v>1</v>
      </c>
      <c r="G62" s="404">
        <v>1</v>
      </c>
      <c r="H62" s="404">
        <v>33</v>
      </c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405">
        <v>225</v>
      </c>
      <c r="T62" s="404"/>
      <c r="U62" s="404"/>
      <c r="V62" s="404" t="s">
        <v>113</v>
      </c>
      <c r="W62" s="404"/>
      <c r="X62" s="404"/>
      <c r="Y62" s="404"/>
      <c r="Z62" s="404"/>
      <c r="AA62" s="404"/>
      <c r="AB62" s="404"/>
      <c r="AC62" s="404"/>
      <c r="AD62" s="406"/>
      <c r="AE62" s="402">
        <v>8666550</v>
      </c>
    </row>
    <row r="63" spans="1:31" x14ac:dyDescent="0.35">
      <c r="A63" s="397" t="s">
        <v>859</v>
      </c>
      <c r="B63" s="404"/>
      <c r="C63" s="404"/>
      <c r="D63" s="404"/>
      <c r="E63" s="404" t="s">
        <v>755</v>
      </c>
      <c r="F63" s="404">
        <v>1</v>
      </c>
      <c r="G63" s="404">
        <v>1</v>
      </c>
      <c r="H63" s="404">
        <v>34</v>
      </c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405">
        <v>201</v>
      </c>
      <c r="T63" s="404"/>
      <c r="U63" s="404"/>
      <c r="V63" s="404" t="s">
        <v>113</v>
      </c>
      <c r="W63" s="404"/>
      <c r="X63" s="404"/>
      <c r="Y63" s="404"/>
      <c r="Z63" s="404"/>
      <c r="AA63" s="404"/>
      <c r="AB63" s="404"/>
      <c r="AC63" s="404"/>
      <c r="AD63" s="406"/>
      <c r="AE63" s="402">
        <v>7742118</v>
      </c>
    </row>
    <row r="64" spans="1:31" x14ac:dyDescent="0.35">
      <c r="A64" s="397" t="s">
        <v>860</v>
      </c>
      <c r="B64" s="404"/>
      <c r="C64" s="404"/>
      <c r="D64" s="404"/>
      <c r="E64" s="404" t="s">
        <v>755</v>
      </c>
      <c r="F64" s="404">
        <v>1</v>
      </c>
      <c r="G64" s="404">
        <v>1</v>
      </c>
      <c r="H64" s="404">
        <v>35</v>
      </c>
      <c r="I64" s="404"/>
      <c r="J64" s="404"/>
      <c r="K64" s="404"/>
      <c r="L64" s="404"/>
      <c r="M64" s="404"/>
      <c r="N64" s="404"/>
      <c r="O64" s="404"/>
      <c r="P64" s="404"/>
      <c r="Q64" s="404"/>
      <c r="R64" s="404"/>
      <c r="S64" s="405">
        <v>205</v>
      </c>
      <c r="T64" s="404"/>
      <c r="U64" s="404"/>
      <c r="V64" s="404" t="s">
        <v>113</v>
      </c>
      <c r="W64" s="404"/>
      <c r="X64" s="404"/>
      <c r="Y64" s="404"/>
      <c r="Z64" s="404"/>
      <c r="AA64" s="404"/>
      <c r="AB64" s="404"/>
      <c r="AC64" s="404"/>
      <c r="AD64" s="406"/>
      <c r="AE64" s="402">
        <v>7896190</v>
      </c>
    </row>
    <row r="65" spans="1:31" x14ac:dyDescent="0.35">
      <c r="A65" s="397" t="s">
        <v>861</v>
      </c>
      <c r="B65" s="404"/>
      <c r="C65" s="404"/>
      <c r="D65" s="404"/>
      <c r="E65" s="404" t="s">
        <v>755</v>
      </c>
      <c r="F65" s="404">
        <v>1</v>
      </c>
      <c r="G65" s="404">
        <v>1</v>
      </c>
      <c r="H65" s="404">
        <v>36</v>
      </c>
      <c r="I65" s="404"/>
      <c r="J65" s="404"/>
      <c r="K65" s="404"/>
      <c r="L65" s="404"/>
      <c r="M65" s="404"/>
      <c r="N65" s="404"/>
      <c r="O65" s="404"/>
      <c r="P65" s="404"/>
      <c r="Q65" s="404"/>
      <c r="R65" s="404"/>
      <c r="S65" s="405">
        <v>237</v>
      </c>
      <c r="T65" s="404"/>
      <c r="U65" s="404"/>
      <c r="V65" s="404" t="s">
        <v>113</v>
      </c>
      <c r="W65" s="404"/>
      <c r="X65" s="404"/>
      <c r="Y65" s="404"/>
      <c r="Z65" s="404"/>
      <c r="AA65" s="404"/>
      <c r="AB65" s="404"/>
      <c r="AC65" s="404"/>
      <c r="AD65" s="406"/>
      <c r="AE65" s="402">
        <v>9128766</v>
      </c>
    </row>
    <row r="66" spans="1:31" x14ac:dyDescent="0.35">
      <c r="A66" s="397" t="s">
        <v>862</v>
      </c>
      <c r="B66" s="404"/>
      <c r="C66" s="404"/>
      <c r="D66" s="404"/>
      <c r="E66" s="404" t="s">
        <v>755</v>
      </c>
      <c r="F66" s="404">
        <v>2</v>
      </c>
      <c r="G66" s="404">
        <v>2</v>
      </c>
      <c r="H66" s="404">
        <v>1</v>
      </c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405">
        <v>323</v>
      </c>
      <c r="T66" s="404"/>
      <c r="U66" s="404"/>
      <c r="V66" s="404" t="s">
        <v>113</v>
      </c>
      <c r="W66" s="404"/>
      <c r="X66" s="404"/>
      <c r="Y66" s="404"/>
      <c r="Z66" s="404"/>
      <c r="AA66" s="404"/>
      <c r="AB66" s="404"/>
      <c r="AC66" s="404"/>
      <c r="AD66" s="406"/>
      <c r="AE66" s="402">
        <v>13822220</v>
      </c>
    </row>
    <row r="67" spans="1:31" x14ac:dyDescent="0.35">
      <c r="A67" s="397" t="s">
        <v>849</v>
      </c>
      <c r="B67" s="404"/>
      <c r="C67" s="404"/>
      <c r="D67" s="404"/>
      <c r="E67" s="404" t="s">
        <v>755</v>
      </c>
      <c r="F67" s="404">
        <v>2</v>
      </c>
      <c r="G67" s="404">
        <v>2</v>
      </c>
      <c r="H67" s="404">
        <v>2</v>
      </c>
      <c r="I67" s="404"/>
      <c r="J67" s="404"/>
      <c r="K67" s="404"/>
      <c r="L67" s="404"/>
      <c r="M67" s="404"/>
      <c r="N67" s="404"/>
      <c r="O67" s="404"/>
      <c r="P67" s="404"/>
      <c r="Q67" s="404"/>
      <c r="R67" s="404"/>
      <c r="S67" s="405">
        <v>223</v>
      </c>
      <c r="T67" s="404"/>
      <c r="U67" s="404"/>
      <c r="V67" s="404" t="s">
        <v>113</v>
      </c>
      <c r="W67" s="404"/>
      <c r="X67" s="404"/>
      <c r="Y67" s="404"/>
      <c r="Z67" s="404"/>
      <c r="AA67" s="404"/>
      <c r="AB67" s="404"/>
      <c r="AC67" s="404"/>
      <c r="AD67" s="406"/>
      <c r="AE67" s="402">
        <v>8812514</v>
      </c>
    </row>
    <row r="68" spans="1:31" x14ac:dyDescent="0.35">
      <c r="A68" s="397" t="s">
        <v>863</v>
      </c>
      <c r="B68" s="404"/>
      <c r="C68" s="404"/>
      <c r="D68" s="404"/>
      <c r="E68" s="404" t="s">
        <v>755</v>
      </c>
      <c r="F68" s="404">
        <v>2</v>
      </c>
      <c r="G68" s="404">
        <v>2</v>
      </c>
      <c r="H68" s="404">
        <v>3</v>
      </c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405">
        <v>232</v>
      </c>
      <c r="T68" s="404"/>
      <c r="U68" s="404"/>
      <c r="V68" s="404" t="s">
        <v>113</v>
      </c>
      <c r="W68" s="404"/>
      <c r="X68" s="404"/>
      <c r="Y68" s="404"/>
      <c r="Z68" s="404"/>
      <c r="AA68" s="404"/>
      <c r="AB68" s="404"/>
      <c r="AC68" s="404"/>
      <c r="AD68" s="406"/>
      <c r="AE68" s="402">
        <v>8936176</v>
      </c>
    </row>
    <row r="69" spans="1:31" x14ac:dyDescent="0.35">
      <c r="A69" s="397" t="s">
        <v>850</v>
      </c>
      <c r="B69" s="404"/>
      <c r="C69" s="404"/>
      <c r="D69" s="404"/>
      <c r="E69" s="404" t="s">
        <v>755</v>
      </c>
      <c r="F69" s="404">
        <v>2</v>
      </c>
      <c r="G69" s="404">
        <v>2</v>
      </c>
      <c r="H69" s="404">
        <v>4</v>
      </c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405">
        <v>168</v>
      </c>
      <c r="T69" s="404"/>
      <c r="U69" s="404"/>
      <c r="V69" s="404" t="s">
        <v>113</v>
      </c>
      <c r="W69" s="404"/>
      <c r="X69" s="404"/>
      <c r="Y69" s="404"/>
      <c r="Z69" s="404"/>
      <c r="AA69" s="404"/>
      <c r="AB69" s="404"/>
      <c r="AC69" s="404"/>
      <c r="AD69" s="406"/>
      <c r="AE69" s="402">
        <v>5918304</v>
      </c>
    </row>
    <row r="70" spans="1:31" x14ac:dyDescent="0.35">
      <c r="A70" s="397" t="s">
        <v>864</v>
      </c>
      <c r="B70" s="404"/>
      <c r="C70" s="404"/>
      <c r="D70" s="404"/>
      <c r="E70" s="404" t="s">
        <v>755</v>
      </c>
      <c r="F70" s="404">
        <v>2</v>
      </c>
      <c r="G70" s="404">
        <v>2</v>
      </c>
      <c r="H70" s="404">
        <v>5</v>
      </c>
      <c r="I70" s="404"/>
      <c r="J70" s="404"/>
      <c r="K70" s="404"/>
      <c r="L70" s="404"/>
      <c r="M70" s="404"/>
      <c r="N70" s="404"/>
      <c r="O70" s="404"/>
      <c r="P70" s="404"/>
      <c r="Q70" s="404"/>
      <c r="R70" s="404"/>
      <c r="S70" s="405">
        <v>238</v>
      </c>
      <c r="T70" s="404"/>
      <c r="U70" s="404"/>
      <c r="V70" s="404" t="s">
        <v>113</v>
      </c>
      <c r="W70" s="404"/>
      <c r="X70" s="404"/>
      <c r="Y70" s="404"/>
      <c r="Z70" s="404"/>
      <c r="AA70" s="404"/>
      <c r="AB70" s="404"/>
      <c r="AC70" s="404"/>
      <c r="AD70" s="406"/>
      <c r="AE70" s="402">
        <v>9167284</v>
      </c>
    </row>
    <row r="71" spans="1:31" x14ac:dyDescent="0.35">
      <c r="A71" s="397" t="s">
        <v>865</v>
      </c>
      <c r="B71" s="404"/>
      <c r="C71" s="404"/>
      <c r="D71" s="404"/>
      <c r="E71" s="404" t="s">
        <v>755</v>
      </c>
      <c r="F71" s="404">
        <v>2</v>
      </c>
      <c r="G71" s="404">
        <v>2</v>
      </c>
      <c r="H71" s="404">
        <v>6</v>
      </c>
      <c r="I71" s="404"/>
      <c r="J71" s="404"/>
      <c r="K71" s="404"/>
      <c r="L71" s="404"/>
      <c r="M71" s="404"/>
      <c r="N71" s="404"/>
      <c r="O71" s="404"/>
      <c r="P71" s="404"/>
      <c r="Q71" s="404"/>
      <c r="R71" s="404"/>
      <c r="S71" s="405">
        <v>168</v>
      </c>
      <c r="T71" s="404"/>
      <c r="U71" s="404"/>
      <c r="V71" s="404" t="s">
        <v>113</v>
      </c>
      <c r="W71" s="404"/>
      <c r="X71" s="404"/>
      <c r="Y71" s="404"/>
      <c r="Z71" s="404"/>
      <c r="AA71" s="404"/>
      <c r="AB71" s="404"/>
      <c r="AC71" s="404"/>
      <c r="AD71" s="406"/>
      <c r="AE71" s="402">
        <v>5641104</v>
      </c>
    </row>
    <row r="72" spans="1:31" x14ac:dyDescent="0.35">
      <c r="A72" s="397" t="s">
        <v>866</v>
      </c>
      <c r="B72" s="404"/>
      <c r="C72" s="404"/>
      <c r="D72" s="404"/>
      <c r="E72" s="404" t="s">
        <v>755</v>
      </c>
      <c r="F72" s="404">
        <v>2</v>
      </c>
      <c r="G72" s="404">
        <v>2</v>
      </c>
      <c r="H72" s="404">
        <v>7</v>
      </c>
      <c r="I72" s="404"/>
      <c r="J72" s="404"/>
      <c r="K72" s="404"/>
      <c r="L72" s="404"/>
      <c r="M72" s="404"/>
      <c r="N72" s="404"/>
      <c r="O72" s="404"/>
      <c r="P72" s="404"/>
      <c r="Q72" s="404"/>
      <c r="R72" s="404"/>
      <c r="S72" s="405">
        <v>245</v>
      </c>
      <c r="T72" s="404"/>
      <c r="U72" s="404"/>
      <c r="V72" s="404" t="s">
        <v>113</v>
      </c>
      <c r="W72" s="404"/>
      <c r="X72" s="404"/>
      <c r="Y72" s="404"/>
      <c r="Z72" s="404"/>
      <c r="AA72" s="404"/>
      <c r="AB72" s="404"/>
      <c r="AC72" s="404"/>
      <c r="AD72" s="406"/>
      <c r="AE72" s="402">
        <v>9436910</v>
      </c>
    </row>
    <row r="73" spans="1:31" x14ac:dyDescent="0.35">
      <c r="A73" s="397" t="s">
        <v>867</v>
      </c>
      <c r="B73" s="404"/>
      <c r="C73" s="404"/>
      <c r="D73" s="404"/>
      <c r="E73" s="404" t="s">
        <v>755</v>
      </c>
      <c r="F73" s="404">
        <v>2</v>
      </c>
      <c r="G73" s="404">
        <v>2</v>
      </c>
      <c r="H73" s="404">
        <v>8</v>
      </c>
      <c r="I73" s="404"/>
      <c r="J73" s="404"/>
      <c r="K73" s="404"/>
      <c r="L73" s="404"/>
      <c r="M73" s="404"/>
      <c r="N73" s="404"/>
      <c r="O73" s="404"/>
      <c r="P73" s="404"/>
      <c r="Q73" s="404"/>
      <c r="R73" s="404"/>
      <c r="S73" s="405">
        <v>168</v>
      </c>
      <c r="T73" s="404"/>
      <c r="U73" s="404"/>
      <c r="V73" s="404" t="s">
        <v>113</v>
      </c>
      <c r="W73" s="404"/>
      <c r="X73" s="404"/>
      <c r="Y73" s="404"/>
      <c r="Z73" s="404"/>
      <c r="AA73" s="404"/>
      <c r="AB73" s="404"/>
      <c r="AC73" s="404"/>
      <c r="AD73" s="406"/>
      <c r="AE73" s="402">
        <v>5641104</v>
      </c>
    </row>
    <row r="74" spans="1:31" x14ac:dyDescent="0.35">
      <c r="A74" s="397" t="s">
        <v>868</v>
      </c>
      <c r="B74" s="404"/>
      <c r="C74" s="404"/>
      <c r="D74" s="404"/>
      <c r="E74" s="404" t="s">
        <v>755</v>
      </c>
      <c r="F74" s="404">
        <v>2</v>
      </c>
      <c r="G74" s="404">
        <v>2</v>
      </c>
      <c r="H74" s="404">
        <v>9</v>
      </c>
      <c r="I74" s="404"/>
      <c r="J74" s="404"/>
      <c r="K74" s="404"/>
      <c r="L74" s="404"/>
      <c r="M74" s="404"/>
      <c r="N74" s="404"/>
      <c r="O74" s="404"/>
      <c r="P74" s="404"/>
      <c r="Q74" s="404"/>
      <c r="R74" s="404"/>
      <c r="S74" s="405">
        <v>251</v>
      </c>
      <c r="T74" s="404"/>
      <c r="U74" s="404"/>
      <c r="V74" s="404" t="s">
        <v>113</v>
      </c>
      <c r="W74" s="404"/>
      <c r="X74" s="404"/>
      <c r="Y74" s="404"/>
      <c r="Z74" s="404"/>
      <c r="AA74" s="404"/>
      <c r="AB74" s="404"/>
      <c r="AC74" s="404"/>
      <c r="AD74" s="406"/>
      <c r="AE74" s="402">
        <v>9668018</v>
      </c>
    </row>
    <row r="75" spans="1:31" x14ac:dyDescent="0.35">
      <c r="A75" s="397" t="s">
        <v>821</v>
      </c>
      <c r="B75" s="404"/>
      <c r="C75" s="404"/>
      <c r="D75" s="404"/>
      <c r="E75" s="404" t="s">
        <v>755</v>
      </c>
      <c r="F75" s="404">
        <v>2</v>
      </c>
      <c r="G75" s="404">
        <v>2</v>
      </c>
      <c r="H75" s="404">
        <v>10</v>
      </c>
      <c r="I75" s="404"/>
      <c r="J75" s="404"/>
      <c r="K75" s="404"/>
      <c r="L75" s="404"/>
      <c r="M75" s="404"/>
      <c r="N75" s="404"/>
      <c r="O75" s="404"/>
      <c r="P75" s="404"/>
      <c r="Q75" s="404"/>
      <c r="R75" s="404"/>
      <c r="S75" s="405">
        <v>168</v>
      </c>
      <c r="T75" s="404"/>
      <c r="U75" s="404"/>
      <c r="V75" s="404" t="s">
        <v>113</v>
      </c>
      <c r="W75" s="404"/>
      <c r="X75" s="404"/>
      <c r="Y75" s="404"/>
      <c r="Z75" s="404"/>
      <c r="AA75" s="404"/>
      <c r="AB75" s="404"/>
      <c r="AC75" s="404"/>
      <c r="AD75" s="406"/>
      <c r="AE75" s="402">
        <v>5641104</v>
      </c>
    </row>
    <row r="76" spans="1:31" x14ac:dyDescent="0.35">
      <c r="A76" s="397" t="s">
        <v>869</v>
      </c>
      <c r="B76" s="404"/>
      <c r="C76" s="404"/>
      <c r="D76" s="404"/>
      <c r="E76" s="404" t="s">
        <v>755</v>
      </c>
      <c r="F76" s="404">
        <v>2</v>
      </c>
      <c r="G76" s="404">
        <v>2</v>
      </c>
      <c r="H76" s="404">
        <v>11</v>
      </c>
      <c r="I76" s="404"/>
      <c r="J76" s="404"/>
      <c r="K76" s="404"/>
      <c r="L76" s="404"/>
      <c r="M76" s="404"/>
      <c r="N76" s="404"/>
      <c r="O76" s="404"/>
      <c r="P76" s="404"/>
      <c r="Q76" s="404"/>
      <c r="R76" s="404"/>
      <c r="S76" s="405">
        <v>258</v>
      </c>
      <c r="T76" s="404"/>
      <c r="U76" s="404"/>
      <c r="V76" s="404" t="s">
        <v>113</v>
      </c>
      <c r="W76" s="404"/>
      <c r="X76" s="404"/>
      <c r="Y76" s="404"/>
      <c r="Z76" s="404"/>
      <c r="AA76" s="404"/>
      <c r="AB76" s="404"/>
      <c r="AC76" s="404"/>
      <c r="AD76" s="406"/>
      <c r="AE76" s="402">
        <v>9937644</v>
      </c>
    </row>
    <row r="77" spans="1:31" x14ac:dyDescent="0.35">
      <c r="A77" s="397" t="s">
        <v>822</v>
      </c>
      <c r="B77" s="404"/>
      <c r="C77" s="404"/>
      <c r="D77" s="404"/>
      <c r="E77" s="404" t="s">
        <v>755</v>
      </c>
      <c r="F77" s="404">
        <v>2</v>
      </c>
      <c r="G77" s="404">
        <v>2</v>
      </c>
      <c r="H77" s="404">
        <v>12</v>
      </c>
      <c r="I77" s="404"/>
      <c r="J77" s="404"/>
      <c r="K77" s="404"/>
      <c r="L77" s="404"/>
      <c r="M77" s="404"/>
      <c r="N77" s="404"/>
      <c r="O77" s="404"/>
      <c r="P77" s="404"/>
      <c r="Q77" s="404"/>
      <c r="R77" s="404"/>
      <c r="S77" s="405">
        <v>168</v>
      </c>
      <c r="T77" s="404"/>
      <c r="U77" s="404"/>
      <c r="V77" s="404" t="s">
        <v>113</v>
      </c>
      <c r="W77" s="404"/>
      <c r="X77" s="404"/>
      <c r="Y77" s="404"/>
      <c r="Z77" s="404"/>
      <c r="AA77" s="404"/>
      <c r="AB77" s="404"/>
      <c r="AC77" s="404"/>
      <c r="AD77" s="406"/>
      <c r="AE77" s="402">
        <v>5641104</v>
      </c>
    </row>
    <row r="78" spans="1:31" x14ac:dyDescent="0.35">
      <c r="A78" s="397" t="s">
        <v>870</v>
      </c>
      <c r="B78" s="404"/>
      <c r="C78" s="404"/>
      <c r="D78" s="404"/>
      <c r="E78" s="404" t="s">
        <v>755</v>
      </c>
      <c r="F78" s="404">
        <v>2</v>
      </c>
      <c r="G78" s="404">
        <v>2</v>
      </c>
      <c r="H78" s="404">
        <v>13</v>
      </c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405">
        <v>265</v>
      </c>
      <c r="T78" s="404"/>
      <c r="U78" s="404"/>
      <c r="V78" s="404" t="s">
        <v>113</v>
      </c>
      <c r="W78" s="404"/>
      <c r="X78" s="404"/>
      <c r="Y78" s="404"/>
      <c r="Z78" s="404"/>
      <c r="AA78" s="404"/>
      <c r="AB78" s="404"/>
      <c r="AC78" s="404"/>
      <c r="AD78" s="406"/>
      <c r="AE78" s="402">
        <v>10207270</v>
      </c>
    </row>
    <row r="79" spans="1:31" x14ac:dyDescent="0.35">
      <c r="A79" s="397" t="s">
        <v>823</v>
      </c>
      <c r="B79" s="404"/>
      <c r="C79" s="404"/>
      <c r="D79" s="404"/>
      <c r="E79" s="404" t="s">
        <v>755</v>
      </c>
      <c r="F79" s="404">
        <v>2</v>
      </c>
      <c r="G79" s="404">
        <v>2</v>
      </c>
      <c r="H79" s="404">
        <v>14</v>
      </c>
      <c r="I79" s="404"/>
      <c r="J79" s="404"/>
      <c r="K79" s="404"/>
      <c r="L79" s="404"/>
      <c r="M79" s="404"/>
      <c r="N79" s="404"/>
      <c r="O79" s="404"/>
      <c r="P79" s="404"/>
      <c r="Q79" s="404"/>
      <c r="R79" s="404"/>
      <c r="S79" s="405">
        <v>168</v>
      </c>
      <c r="T79" s="404"/>
      <c r="U79" s="404"/>
      <c r="V79" s="404" t="s">
        <v>113</v>
      </c>
      <c r="W79" s="404"/>
      <c r="X79" s="404"/>
      <c r="Y79" s="404"/>
      <c r="Z79" s="404"/>
      <c r="AA79" s="404"/>
      <c r="AB79" s="404"/>
      <c r="AC79" s="404"/>
      <c r="AD79" s="406"/>
      <c r="AE79" s="402">
        <v>5641104</v>
      </c>
    </row>
    <row r="80" spans="1:31" x14ac:dyDescent="0.35">
      <c r="A80" s="397" t="s">
        <v>871</v>
      </c>
      <c r="B80" s="404"/>
      <c r="C80" s="404"/>
      <c r="D80" s="404"/>
      <c r="E80" s="404" t="s">
        <v>755</v>
      </c>
      <c r="F80" s="404">
        <v>2</v>
      </c>
      <c r="G80" s="404">
        <v>2</v>
      </c>
      <c r="H80" s="404">
        <v>15</v>
      </c>
      <c r="I80" s="404"/>
      <c r="J80" s="404"/>
      <c r="K80" s="404"/>
      <c r="L80" s="404"/>
      <c r="M80" s="404"/>
      <c r="N80" s="404"/>
      <c r="O80" s="404"/>
      <c r="P80" s="404"/>
      <c r="Q80" s="404"/>
      <c r="R80" s="404"/>
      <c r="S80" s="405">
        <v>271</v>
      </c>
      <c r="T80" s="404"/>
      <c r="U80" s="404"/>
      <c r="V80" s="404" t="s">
        <v>113</v>
      </c>
      <c r="W80" s="404"/>
      <c r="X80" s="404"/>
      <c r="Y80" s="404"/>
      <c r="Z80" s="404"/>
      <c r="AA80" s="404"/>
      <c r="AB80" s="404"/>
      <c r="AC80" s="404"/>
      <c r="AD80" s="406"/>
      <c r="AE80" s="402">
        <v>10438378</v>
      </c>
    </row>
    <row r="81" spans="1:31" x14ac:dyDescent="0.35">
      <c r="A81" s="397" t="s">
        <v>824</v>
      </c>
      <c r="B81" s="404"/>
      <c r="C81" s="404"/>
      <c r="D81" s="404"/>
      <c r="E81" s="404" t="s">
        <v>755</v>
      </c>
      <c r="F81" s="404">
        <v>2</v>
      </c>
      <c r="G81" s="404">
        <v>2</v>
      </c>
      <c r="H81" s="404">
        <v>16</v>
      </c>
      <c r="I81" s="404"/>
      <c r="J81" s="404"/>
      <c r="K81" s="404"/>
      <c r="L81" s="404"/>
      <c r="M81" s="404"/>
      <c r="N81" s="404"/>
      <c r="O81" s="404"/>
      <c r="P81" s="404"/>
      <c r="Q81" s="404"/>
      <c r="R81" s="404"/>
      <c r="S81" s="405">
        <v>168</v>
      </c>
      <c r="T81" s="404"/>
      <c r="U81" s="404"/>
      <c r="V81" s="404" t="s">
        <v>113</v>
      </c>
      <c r="W81" s="404"/>
      <c r="X81" s="404"/>
      <c r="Y81" s="404"/>
      <c r="Z81" s="404"/>
      <c r="AA81" s="404"/>
      <c r="AB81" s="404"/>
      <c r="AC81" s="404"/>
      <c r="AD81" s="406"/>
      <c r="AE81" s="402">
        <v>5641104</v>
      </c>
    </row>
    <row r="82" spans="1:31" x14ac:dyDescent="0.35">
      <c r="A82" s="397" t="s">
        <v>872</v>
      </c>
      <c r="B82" s="404"/>
      <c r="C82" s="404"/>
      <c r="D82" s="404"/>
      <c r="E82" s="404" t="s">
        <v>755</v>
      </c>
      <c r="F82" s="404">
        <v>2</v>
      </c>
      <c r="G82" s="404">
        <v>2</v>
      </c>
      <c r="H82" s="404">
        <v>17</v>
      </c>
      <c r="I82" s="404"/>
      <c r="J82" s="404"/>
      <c r="K82" s="404"/>
      <c r="L82" s="404"/>
      <c r="M82" s="404"/>
      <c r="N82" s="404"/>
      <c r="O82" s="404"/>
      <c r="P82" s="404"/>
      <c r="Q82" s="404"/>
      <c r="R82" s="404"/>
      <c r="S82" s="405">
        <v>316</v>
      </c>
      <c r="T82" s="404"/>
      <c r="U82" s="404"/>
      <c r="V82" s="404" t="s">
        <v>113</v>
      </c>
      <c r="W82" s="404"/>
      <c r="X82" s="404"/>
      <c r="Y82" s="404"/>
      <c r="Z82" s="404"/>
      <c r="AA82" s="404"/>
      <c r="AB82" s="404"/>
      <c r="AC82" s="404"/>
      <c r="AD82" s="406"/>
      <c r="AE82" s="402">
        <v>13214488</v>
      </c>
    </row>
    <row r="83" spans="1:31" x14ac:dyDescent="0.35">
      <c r="A83" s="397" t="s">
        <v>825</v>
      </c>
      <c r="B83" s="404"/>
      <c r="C83" s="404"/>
      <c r="D83" s="404"/>
      <c r="E83" s="404" t="s">
        <v>755</v>
      </c>
      <c r="F83" s="404">
        <v>2</v>
      </c>
      <c r="G83" s="404">
        <v>2</v>
      </c>
      <c r="H83" s="404">
        <v>18</v>
      </c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405">
        <v>168</v>
      </c>
      <c r="T83" s="404"/>
      <c r="U83" s="404"/>
      <c r="V83" s="404" t="s">
        <v>113</v>
      </c>
      <c r="W83" s="404"/>
      <c r="X83" s="404"/>
      <c r="Y83" s="404"/>
      <c r="Z83" s="404"/>
      <c r="AA83" s="404"/>
      <c r="AB83" s="404"/>
      <c r="AC83" s="404"/>
      <c r="AD83" s="406"/>
      <c r="AE83" s="402">
        <v>5641104</v>
      </c>
    </row>
    <row r="84" spans="1:31" x14ac:dyDescent="0.35">
      <c r="A84" s="397" t="s">
        <v>873</v>
      </c>
      <c r="B84" s="404"/>
      <c r="C84" s="404"/>
      <c r="D84" s="404"/>
      <c r="E84" s="404" t="s">
        <v>755</v>
      </c>
      <c r="F84" s="404">
        <v>2</v>
      </c>
      <c r="G84" s="404">
        <v>2</v>
      </c>
      <c r="H84" s="404">
        <v>19</v>
      </c>
      <c r="I84" s="404"/>
      <c r="J84" s="404"/>
      <c r="K84" s="404"/>
      <c r="L84" s="404"/>
      <c r="M84" s="404"/>
      <c r="N84" s="404"/>
      <c r="O84" s="404"/>
      <c r="P84" s="404"/>
      <c r="Q84" s="404"/>
      <c r="R84" s="404"/>
      <c r="S84" s="405">
        <v>218</v>
      </c>
      <c r="T84" s="404"/>
      <c r="U84" s="404"/>
      <c r="V84" s="404" t="s">
        <v>113</v>
      </c>
      <c r="W84" s="404"/>
      <c r="X84" s="404"/>
      <c r="Y84" s="404"/>
      <c r="Z84" s="404"/>
      <c r="AA84" s="404"/>
      <c r="AB84" s="404"/>
      <c r="AC84" s="404"/>
      <c r="AD84" s="406"/>
      <c r="AE84" s="402">
        <v>8039404</v>
      </c>
    </row>
    <row r="85" spans="1:31" x14ac:dyDescent="0.35">
      <c r="A85" s="397" t="s">
        <v>874</v>
      </c>
      <c r="B85" s="404"/>
      <c r="C85" s="404"/>
      <c r="D85" s="404"/>
      <c r="E85" s="404" t="s">
        <v>755</v>
      </c>
      <c r="F85" s="404">
        <v>3</v>
      </c>
      <c r="G85" s="404">
        <v>3</v>
      </c>
      <c r="H85" s="404">
        <v>5</v>
      </c>
      <c r="I85" s="404"/>
      <c r="J85" s="404"/>
      <c r="K85" s="404"/>
      <c r="L85" s="404"/>
      <c r="M85" s="404"/>
      <c r="N85" s="404"/>
      <c r="O85" s="404"/>
      <c r="P85" s="404"/>
      <c r="Q85" s="404"/>
      <c r="R85" s="404"/>
      <c r="S85" s="405">
        <v>216</v>
      </c>
      <c r="T85" s="404"/>
      <c r="U85" s="404"/>
      <c r="V85" s="404" t="s">
        <v>113</v>
      </c>
      <c r="W85" s="404"/>
      <c r="X85" s="404"/>
      <c r="Y85" s="404"/>
      <c r="Z85" s="404"/>
      <c r="AA85" s="404"/>
      <c r="AB85" s="404"/>
      <c r="AC85" s="404"/>
      <c r="AD85" s="406"/>
      <c r="AE85" s="402">
        <v>8676288</v>
      </c>
    </row>
    <row r="86" spans="1:31" x14ac:dyDescent="0.35">
      <c r="A86" s="397" t="s">
        <v>827</v>
      </c>
      <c r="B86" s="404"/>
      <c r="C86" s="404"/>
      <c r="D86" s="404"/>
      <c r="E86" s="404" t="s">
        <v>755</v>
      </c>
      <c r="F86" s="404">
        <v>3</v>
      </c>
      <c r="G86" s="404">
        <v>3</v>
      </c>
      <c r="H86" s="404">
        <v>6</v>
      </c>
      <c r="I86" s="404"/>
      <c r="J86" s="404"/>
      <c r="K86" s="404"/>
      <c r="L86" s="404"/>
      <c r="M86" s="404"/>
      <c r="N86" s="404"/>
      <c r="O86" s="404"/>
      <c r="P86" s="404"/>
      <c r="Q86" s="404"/>
      <c r="R86" s="404"/>
      <c r="S86" s="405">
        <v>216</v>
      </c>
      <c r="T86" s="404"/>
      <c r="U86" s="404"/>
      <c r="V86" s="404" t="s">
        <v>113</v>
      </c>
      <c r="W86" s="404"/>
      <c r="X86" s="404"/>
      <c r="Y86" s="404"/>
      <c r="Z86" s="404"/>
      <c r="AA86" s="404"/>
      <c r="AB86" s="404"/>
      <c r="AC86" s="404"/>
      <c r="AD86" s="406"/>
      <c r="AE86" s="402">
        <v>7609248</v>
      </c>
    </row>
    <row r="87" spans="1:31" x14ac:dyDescent="0.35">
      <c r="A87" s="397" t="s">
        <v>828</v>
      </c>
      <c r="B87" s="404"/>
      <c r="C87" s="404"/>
      <c r="D87" s="404"/>
      <c r="E87" s="404" t="s">
        <v>755</v>
      </c>
      <c r="F87" s="404">
        <v>3</v>
      </c>
      <c r="G87" s="404">
        <v>3</v>
      </c>
      <c r="H87" s="404">
        <v>7</v>
      </c>
      <c r="I87" s="404"/>
      <c r="J87" s="404"/>
      <c r="K87" s="404"/>
      <c r="L87" s="404"/>
      <c r="M87" s="404"/>
      <c r="N87" s="404"/>
      <c r="O87" s="404"/>
      <c r="P87" s="404"/>
      <c r="Q87" s="404"/>
      <c r="R87" s="404"/>
      <c r="S87" s="405">
        <v>216</v>
      </c>
      <c r="T87" s="404"/>
      <c r="U87" s="404"/>
      <c r="V87" s="404" t="s">
        <v>113</v>
      </c>
      <c r="W87" s="404"/>
      <c r="X87" s="404"/>
      <c r="Y87" s="404"/>
      <c r="Z87" s="404"/>
      <c r="AA87" s="404"/>
      <c r="AB87" s="404"/>
      <c r="AC87" s="404"/>
      <c r="AD87" s="406"/>
      <c r="AE87" s="402">
        <v>8319888</v>
      </c>
    </row>
    <row r="88" spans="1:31" x14ac:dyDescent="0.35">
      <c r="A88" s="397" t="s">
        <v>829</v>
      </c>
      <c r="B88" s="404"/>
      <c r="C88" s="404"/>
      <c r="D88" s="404"/>
      <c r="E88" s="404" t="s">
        <v>755</v>
      </c>
      <c r="F88" s="404">
        <v>3</v>
      </c>
      <c r="G88" s="404">
        <v>3</v>
      </c>
      <c r="H88" s="404">
        <v>8</v>
      </c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5">
        <v>216</v>
      </c>
      <c r="T88" s="404"/>
      <c r="U88" s="404"/>
      <c r="V88" s="404" t="s">
        <v>113</v>
      </c>
      <c r="W88" s="404"/>
      <c r="X88" s="404"/>
      <c r="Y88" s="404"/>
      <c r="Z88" s="404"/>
      <c r="AA88" s="404"/>
      <c r="AB88" s="404"/>
      <c r="AC88" s="404"/>
      <c r="AD88" s="406"/>
      <c r="AE88" s="402">
        <v>7252848</v>
      </c>
    </row>
    <row r="89" spans="1:31" x14ac:dyDescent="0.35">
      <c r="A89" s="397" t="s">
        <v>830</v>
      </c>
      <c r="B89" s="404"/>
      <c r="C89" s="404"/>
      <c r="D89" s="404"/>
      <c r="E89" s="404" t="s">
        <v>755</v>
      </c>
      <c r="F89" s="404">
        <v>3</v>
      </c>
      <c r="G89" s="404">
        <v>3</v>
      </c>
      <c r="H89" s="404">
        <v>9</v>
      </c>
      <c r="I89" s="404"/>
      <c r="J89" s="404"/>
      <c r="K89" s="404"/>
      <c r="L89" s="404"/>
      <c r="M89" s="404"/>
      <c r="N89" s="404"/>
      <c r="O89" s="404"/>
      <c r="P89" s="404"/>
      <c r="Q89" s="404"/>
      <c r="R89" s="404"/>
      <c r="S89" s="405">
        <v>216</v>
      </c>
      <c r="T89" s="404"/>
      <c r="U89" s="404"/>
      <c r="V89" s="404" t="s">
        <v>113</v>
      </c>
      <c r="W89" s="404"/>
      <c r="X89" s="404"/>
      <c r="Y89" s="404"/>
      <c r="Z89" s="404"/>
      <c r="AA89" s="404"/>
      <c r="AB89" s="404"/>
      <c r="AC89" s="404"/>
      <c r="AD89" s="406"/>
      <c r="AE89" s="402">
        <v>8319888</v>
      </c>
    </row>
    <row r="90" spans="1:31" x14ac:dyDescent="0.35">
      <c r="A90" s="397" t="s">
        <v>831</v>
      </c>
      <c r="B90" s="404"/>
      <c r="C90" s="404"/>
      <c r="D90" s="404"/>
      <c r="E90" s="404" t="s">
        <v>755</v>
      </c>
      <c r="F90" s="404">
        <v>3</v>
      </c>
      <c r="G90" s="404">
        <v>3</v>
      </c>
      <c r="H90" s="404">
        <v>10</v>
      </c>
      <c r="I90" s="404"/>
      <c r="J90" s="404"/>
      <c r="K90" s="404"/>
      <c r="L90" s="404"/>
      <c r="M90" s="404"/>
      <c r="N90" s="404"/>
      <c r="O90" s="404"/>
      <c r="P90" s="404"/>
      <c r="Q90" s="404"/>
      <c r="R90" s="404"/>
      <c r="S90" s="405">
        <v>216</v>
      </c>
      <c r="T90" s="404"/>
      <c r="U90" s="404"/>
      <c r="V90" s="404" t="s">
        <v>113</v>
      </c>
      <c r="W90" s="404"/>
      <c r="X90" s="404"/>
      <c r="Y90" s="404"/>
      <c r="Z90" s="404"/>
      <c r="AA90" s="404"/>
      <c r="AB90" s="404"/>
      <c r="AC90" s="404"/>
      <c r="AD90" s="406"/>
      <c r="AE90" s="402">
        <v>7252848</v>
      </c>
    </row>
    <row r="91" spans="1:31" x14ac:dyDescent="0.35">
      <c r="A91" s="397" t="s">
        <v>875</v>
      </c>
      <c r="B91" s="404"/>
      <c r="C91" s="404"/>
      <c r="D91" s="404"/>
      <c r="E91" s="404" t="s">
        <v>755</v>
      </c>
      <c r="F91" s="404">
        <v>3</v>
      </c>
      <c r="G91" s="404">
        <v>3</v>
      </c>
      <c r="H91" s="404">
        <v>11</v>
      </c>
      <c r="I91" s="404"/>
      <c r="J91" s="404"/>
      <c r="K91" s="404"/>
      <c r="L91" s="404"/>
      <c r="M91" s="404"/>
      <c r="N91" s="404"/>
      <c r="O91" s="404"/>
      <c r="P91" s="404"/>
      <c r="Q91" s="404"/>
      <c r="R91" s="404"/>
      <c r="S91" s="405">
        <v>216</v>
      </c>
      <c r="T91" s="404"/>
      <c r="U91" s="404"/>
      <c r="V91" s="404" t="s">
        <v>113</v>
      </c>
      <c r="W91" s="404"/>
      <c r="X91" s="404"/>
      <c r="Y91" s="404"/>
      <c r="Z91" s="404"/>
      <c r="AA91" s="404"/>
      <c r="AB91" s="404"/>
      <c r="AC91" s="404"/>
      <c r="AD91" s="406"/>
      <c r="AE91" s="402">
        <v>8319888</v>
      </c>
    </row>
    <row r="92" spans="1:31" x14ac:dyDescent="0.35">
      <c r="A92" s="397" t="s">
        <v>832</v>
      </c>
      <c r="B92" s="404"/>
      <c r="C92" s="404"/>
      <c r="D92" s="404"/>
      <c r="E92" s="404" t="s">
        <v>755</v>
      </c>
      <c r="F92" s="404">
        <v>3</v>
      </c>
      <c r="G92" s="404">
        <v>3</v>
      </c>
      <c r="H92" s="404">
        <v>12</v>
      </c>
      <c r="I92" s="404"/>
      <c r="J92" s="404"/>
      <c r="K92" s="404"/>
      <c r="L92" s="404"/>
      <c r="M92" s="404"/>
      <c r="N92" s="404"/>
      <c r="O92" s="404"/>
      <c r="P92" s="404"/>
      <c r="Q92" s="404"/>
      <c r="R92" s="404"/>
      <c r="S92" s="405">
        <v>216</v>
      </c>
      <c r="T92" s="404"/>
      <c r="U92" s="404"/>
      <c r="V92" s="404" t="s">
        <v>113</v>
      </c>
      <c r="W92" s="404"/>
      <c r="X92" s="404"/>
      <c r="Y92" s="404"/>
      <c r="Z92" s="404"/>
      <c r="AA92" s="404"/>
      <c r="AB92" s="404"/>
      <c r="AC92" s="404"/>
      <c r="AD92" s="406"/>
      <c r="AE92" s="402">
        <v>7252848</v>
      </c>
    </row>
    <row r="93" spans="1:31" x14ac:dyDescent="0.35">
      <c r="A93" s="397" t="s">
        <v>876</v>
      </c>
      <c r="B93" s="404"/>
      <c r="C93" s="404"/>
      <c r="D93" s="404"/>
      <c r="E93" s="404" t="s">
        <v>755</v>
      </c>
      <c r="F93" s="404">
        <v>3</v>
      </c>
      <c r="G93" s="404">
        <v>3</v>
      </c>
      <c r="H93" s="404">
        <v>13</v>
      </c>
      <c r="I93" s="404"/>
      <c r="J93" s="404"/>
      <c r="K93" s="404"/>
      <c r="L93" s="404"/>
      <c r="M93" s="404"/>
      <c r="N93" s="404"/>
      <c r="O93" s="404"/>
      <c r="P93" s="404"/>
      <c r="Q93" s="404"/>
      <c r="R93" s="404"/>
      <c r="S93" s="405">
        <v>216</v>
      </c>
      <c r="T93" s="404"/>
      <c r="U93" s="404"/>
      <c r="V93" s="404" t="s">
        <v>113</v>
      </c>
      <c r="W93" s="404"/>
      <c r="X93" s="404"/>
      <c r="Y93" s="404"/>
      <c r="Z93" s="404"/>
      <c r="AA93" s="404"/>
      <c r="AB93" s="404"/>
      <c r="AC93" s="404"/>
      <c r="AD93" s="406"/>
      <c r="AE93" s="402">
        <v>8319888</v>
      </c>
    </row>
    <row r="94" spans="1:31" x14ac:dyDescent="0.35">
      <c r="A94" s="397" t="s">
        <v>833</v>
      </c>
      <c r="B94" s="404"/>
      <c r="C94" s="404"/>
      <c r="D94" s="404"/>
      <c r="E94" s="404" t="s">
        <v>755</v>
      </c>
      <c r="F94" s="404">
        <v>3</v>
      </c>
      <c r="G94" s="404">
        <v>3</v>
      </c>
      <c r="H94" s="404">
        <v>14</v>
      </c>
      <c r="I94" s="404"/>
      <c r="J94" s="404"/>
      <c r="K94" s="404"/>
      <c r="L94" s="404"/>
      <c r="M94" s="404"/>
      <c r="N94" s="404"/>
      <c r="O94" s="404"/>
      <c r="P94" s="404"/>
      <c r="Q94" s="404"/>
      <c r="R94" s="404"/>
      <c r="S94" s="405">
        <v>216</v>
      </c>
      <c r="T94" s="404"/>
      <c r="U94" s="404"/>
      <c r="V94" s="404" t="s">
        <v>113</v>
      </c>
      <c r="W94" s="404"/>
      <c r="X94" s="404"/>
      <c r="Y94" s="404"/>
      <c r="Z94" s="404"/>
      <c r="AA94" s="404"/>
      <c r="AB94" s="404"/>
      <c r="AC94" s="404"/>
      <c r="AD94" s="406"/>
      <c r="AE94" s="402">
        <v>7252848</v>
      </c>
    </row>
    <row r="95" spans="1:31" x14ac:dyDescent="0.35">
      <c r="A95" s="397" t="s">
        <v>877</v>
      </c>
      <c r="B95" s="404"/>
      <c r="C95" s="404"/>
      <c r="D95" s="404"/>
      <c r="E95" s="404" t="s">
        <v>755</v>
      </c>
      <c r="F95" s="404">
        <v>3</v>
      </c>
      <c r="G95" s="404">
        <v>3</v>
      </c>
      <c r="H95" s="404">
        <v>15</v>
      </c>
      <c r="I95" s="404"/>
      <c r="J95" s="404"/>
      <c r="K95" s="404"/>
      <c r="L95" s="404"/>
      <c r="M95" s="404"/>
      <c r="N95" s="404"/>
      <c r="O95" s="404"/>
      <c r="P95" s="404"/>
      <c r="Q95" s="404"/>
      <c r="R95" s="404"/>
      <c r="S95" s="405">
        <v>216</v>
      </c>
      <c r="T95" s="404"/>
      <c r="U95" s="404"/>
      <c r="V95" s="404" t="s">
        <v>113</v>
      </c>
      <c r="W95" s="404"/>
      <c r="X95" s="404"/>
      <c r="Y95" s="404"/>
      <c r="Z95" s="404"/>
      <c r="AA95" s="404"/>
      <c r="AB95" s="404"/>
      <c r="AC95" s="404"/>
      <c r="AD95" s="406"/>
      <c r="AE95" s="402">
        <v>8319888</v>
      </c>
    </row>
    <row r="96" spans="1:31" x14ac:dyDescent="0.35">
      <c r="A96" s="397" t="s">
        <v>834</v>
      </c>
      <c r="B96" s="404"/>
      <c r="C96" s="404"/>
      <c r="D96" s="404"/>
      <c r="E96" s="404" t="s">
        <v>755</v>
      </c>
      <c r="F96" s="404">
        <v>3</v>
      </c>
      <c r="G96" s="404">
        <v>3</v>
      </c>
      <c r="H96" s="404">
        <v>16</v>
      </c>
      <c r="I96" s="404"/>
      <c r="J96" s="404"/>
      <c r="K96" s="404"/>
      <c r="L96" s="404"/>
      <c r="M96" s="404"/>
      <c r="N96" s="404"/>
      <c r="O96" s="404"/>
      <c r="P96" s="404"/>
      <c r="Q96" s="404"/>
      <c r="R96" s="404"/>
      <c r="S96" s="405">
        <v>216</v>
      </c>
      <c r="T96" s="404"/>
      <c r="U96" s="404"/>
      <c r="V96" s="404" t="s">
        <v>113</v>
      </c>
      <c r="W96" s="404"/>
      <c r="X96" s="404"/>
      <c r="Y96" s="404"/>
      <c r="Z96" s="404"/>
      <c r="AA96" s="404"/>
      <c r="AB96" s="404"/>
      <c r="AC96" s="404"/>
      <c r="AD96" s="406"/>
      <c r="AE96" s="402">
        <v>7252848</v>
      </c>
    </row>
    <row r="97" spans="1:31" x14ac:dyDescent="0.35">
      <c r="A97" s="397" t="s">
        <v>878</v>
      </c>
      <c r="B97" s="404"/>
      <c r="C97" s="404"/>
      <c r="D97" s="404"/>
      <c r="E97" s="404" t="s">
        <v>755</v>
      </c>
      <c r="F97" s="404">
        <v>3</v>
      </c>
      <c r="G97" s="404">
        <v>3</v>
      </c>
      <c r="H97" s="404">
        <v>17</v>
      </c>
      <c r="I97" s="404"/>
      <c r="J97" s="404"/>
      <c r="K97" s="404"/>
      <c r="L97" s="404"/>
      <c r="M97" s="404"/>
      <c r="N97" s="404"/>
      <c r="O97" s="404"/>
      <c r="P97" s="404"/>
      <c r="Q97" s="404"/>
      <c r="R97" s="404"/>
      <c r="S97" s="405">
        <v>272</v>
      </c>
      <c r="T97" s="404"/>
      <c r="U97" s="404"/>
      <c r="V97" s="404" t="s">
        <v>113</v>
      </c>
      <c r="W97" s="404"/>
      <c r="X97" s="404"/>
      <c r="Y97" s="404"/>
      <c r="Z97" s="404"/>
      <c r="AA97" s="404"/>
      <c r="AB97" s="404"/>
      <c r="AC97" s="404"/>
      <c r="AD97" s="406"/>
      <c r="AE97" s="402">
        <v>11374496</v>
      </c>
    </row>
    <row r="98" spans="1:31" x14ac:dyDescent="0.35">
      <c r="A98" s="397" t="s">
        <v>826</v>
      </c>
      <c r="B98" s="404"/>
      <c r="C98" s="404"/>
      <c r="D98" s="404"/>
      <c r="E98" s="404" t="s">
        <v>755</v>
      </c>
      <c r="F98" s="404">
        <v>3</v>
      </c>
      <c r="G98" s="404">
        <v>3</v>
      </c>
      <c r="H98" s="404">
        <v>18</v>
      </c>
      <c r="I98" s="404"/>
      <c r="J98" s="404"/>
      <c r="K98" s="404"/>
      <c r="L98" s="404"/>
      <c r="M98" s="404"/>
      <c r="N98" s="404"/>
      <c r="O98" s="404"/>
      <c r="P98" s="404"/>
      <c r="Q98" s="404"/>
      <c r="R98" s="404"/>
      <c r="S98" s="405">
        <v>288</v>
      </c>
      <c r="T98" s="404"/>
      <c r="U98" s="404"/>
      <c r="V98" s="404" t="s">
        <v>113</v>
      </c>
      <c r="W98" s="404"/>
      <c r="X98" s="404"/>
      <c r="Y98" s="404"/>
      <c r="Z98" s="404"/>
      <c r="AA98" s="404"/>
      <c r="AB98" s="404"/>
      <c r="AC98" s="404"/>
      <c r="AD98" s="406"/>
      <c r="AE98" s="402">
        <v>10620864</v>
      </c>
    </row>
    <row r="99" spans="1:31" x14ac:dyDescent="0.35">
      <c r="A99" s="397" t="s">
        <v>879</v>
      </c>
      <c r="B99" s="404"/>
      <c r="C99" s="404"/>
      <c r="D99" s="404"/>
      <c r="E99" s="404" t="s">
        <v>755</v>
      </c>
      <c r="F99" s="404">
        <v>4</v>
      </c>
      <c r="G99" s="404">
        <v>4</v>
      </c>
      <c r="H99" s="404">
        <v>1</v>
      </c>
      <c r="I99" s="404"/>
      <c r="J99" s="404"/>
      <c r="K99" s="404"/>
      <c r="L99" s="404"/>
      <c r="M99" s="404"/>
      <c r="N99" s="404"/>
      <c r="O99" s="404"/>
      <c r="P99" s="404"/>
      <c r="Q99" s="404"/>
      <c r="R99" s="404"/>
      <c r="S99" s="405">
        <v>312</v>
      </c>
      <c r="T99" s="404"/>
      <c r="U99" s="404"/>
      <c r="V99" s="404" t="s">
        <v>113</v>
      </c>
      <c r="W99" s="404"/>
      <c r="X99" s="404"/>
      <c r="Y99" s="404"/>
      <c r="Z99" s="404"/>
      <c r="AA99" s="404"/>
      <c r="AB99" s="404"/>
      <c r="AC99" s="404"/>
      <c r="AD99" s="406"/>
      <c r="AE99" s="402">
        <v>13351494</v>
      </c>
    </row>
    <row r="100" spans="1:31" x14ac:dyDescent="0.35">
      <c r="A100" s="397" t="s">
        <v>851</v>
      </c>
      <c r="B100" s="404"/>
      <c r="C100" s="404"/>
      <c r="D100" s="404"/>
      <c r="E100" s="404" t="s">
        <v>755</v>
      </c>
      <c r="F100" s="404">
        <v>4</v>
      </c>
      <c r="G100" s="404">
        <v>4</v>
      </c>
      <c r="H100" s="404">
        <v>2</v>
      </c>
      <c r="I100" s="404"/>
      <c r="J100" s="404"/>
      <c r="K100" s="404"/>
      <c r="L100" s="404"/>
      <c r="M100" s="404"/>
      <c r="N100" s="404"/>
      <c r="O100" s="404"/>
      <c r="P100" s="404"/>
      <c r="Q100" s="404"/>
      <c r="R100" s="404"/>
      <c r="S100" s="405">
        <v>269</v>
      </c>
      <c r="T100" s="404"/>
      <c r="U100" s="404"/>
      <c r="V100" s="404" t="s">
        <v>113</v>
      </c>
      <c r="W100" s="404"/>
      <c r="X100" s="404"/>
      <c r="Y100" s="404"/>
      <c r="Z100" s="404"/>
      <c r="AA100" s="404"/>
      <c r="AB100" s="404"/>
      <c r="AC100" s="404"/>
      <c r="AD100" s="406"/>
      <c r="AE100" s="402">
        <v>10186492</v>
      </c>
    </row>
    <row r="101" spans="1:31" x14ac:dyDescent="0.35">
      <c r="A101" s="397" t="s">
        <v>880</v>
      </c>
      <c r="B101" s="404"/>
      <c r="C101" s="404"/>
      <c r="D101" s="404"/>
      <c r="E101" s="404" t="s">
        <v>755</v>
      </c>
      <c r="F101" s="404">
        <v>4</v>
      </c>
      <c r="G101" s="404">
        <v>4</v>
      </c>
      <c r="H101" s="404">
        <v>3</v>
      </c>
      <c r="I101" s="404"/>
      <c r="J101" s="404"/>
      <c r="K101" s="404"/>
      <c r="L101" s="404"/>
      <c r="M101" s="404"/>
      <c r="N101" s="404"/>
      <c r="O101" s="404"/>
      <c r="P101" s="404"/>
      <c r="Q101" s="404"/>
      <c r="R101" s="404"/>
      <c r="S101" s="405">
        <v>212</v>
      </c>
      <c r="T101" s="404"/>
      <c r="U101" s="404"/>
      <c r="V101" s="404" t="s">
        <v>113</v>
      </c>
      <c r="W101" s="404"/>
      <c r="X101" s="404"/>
      <c r="Y101" s="404"/>
      <c r="Z101" s="404"/>
      <c r="AA101" s="404"/>
      <c r="AB101" s="404"/>
      <c r="AC101" s="404"/>
      <c r="AD101" s="406"/>
      <c r="AE101" s="402">
        <v>8515616</v>
      </c>
    </row>
    <row r="102" spans="1:31" x14ac:dyDescent="0.35">
      <c r="A102" s="397" t="s">
        <v>836</v>
      </c>
      <c r="B102" s="404"/>
      <c r="C102" s="404"/>
      <c r="D102" s="404"/>
      <c r="E102" s="404" t="s">
        <v>755</v>
      </c>
      <c r="F102" s="404">
        <v>4</v>
      </c>
      <c r="G102" s="404">
        <v>4</v>
      </c>
      <c r="H102" s="404">
        <v>4</v>
      </c>
      <c r="I102" s="404"/>
      <c r="J102" s="404"/>
      <c r="K102" s="404"/>
      <c r="L102" s="404"/>
      <c r="M102" s="404"/>
      <c r="N102" s="404"/>
      <c r="O102" s="404"/>
      <c r="P102" s="404"/>
      <c r="Q102" s="404"/>
      <c r="R102" s="404"/>
      <c r="S102" s="405">
        <v>216</v>
      </c>
      <c r="T102" s="404"/>
      <c r="U102" s="404"/>
      <c r="V102" s="404" t="s">
        <v>113</v>
      </c>
      <c r="W102" s="404"/>
      <c r="X102" s="404"/>
      <c r="Y102" s="404"/>
      <c r="Z102" s="404"/>
      <c r="AA102" s="404"/>
      <c r="AB102" s="404"/>
      <c r="AC102" s="404"/>
      <c r="AD102" s="406"/>
      <c r="AE102" s="402">
        <v>7252848</v>
      </c>
    </row>
    <row r="103" spans="1:31" x14ac:dyDescent="0.35">
      <c r="A103" s="397" t="s">
        <v>881</v>
      </c>
      <c r="B103" s="404"/>
      <c r="C103" s="404"/>
      <c r="D103" s="404"/>
      <c r="E103" s="404" t="s">
        <v>755</v>
      </c>
      <c r="F103" s="404">
        <v>4</v>
      </c>
      <c r="G103" s="404">
        <v>4</v>
      </c>
      <c r="H103" s="404">
        <v>5</v>
      </c>
      <c r="I103" s="404"/>
      <c r="J103" s="404"/>
      <c r="K103" s="404"/>
      <c r="L103" s="404"/>
      <c r="M103" s="404"/>
      <c r="N103" s="404"/>
      <c r="O103" s="404"/>
      <c r="P103" s="404"/>
      <c r="Q103" s="404"/>
      <c r="R103" s="404"/>
      <c r="S103" s="405">
        <v>212</v>
      </c>
      <c r="T103" s="404"/>
      <c r="U103" s="404"/>
      <c r="V103" s="404" t="s">
        <v>113</v>
      </c>
      <c r="W103" s="404"/>
      <c r="X103" s="404"/>
      <c r="Y103" s="404"/>
      <c r="Z103" s="404"/>
      <c r="AA103" s="404"/>
      <c r="AB103" s="404"/>
      <c r="AC103" s="404"/>
      <c r="AD103" s="406"/>
      <c r="AE103" s="402">
        <v>8165816</v>
      </c>
    </row>
    <row r="104" spans="1:31" x14ac:dyDescent="0.35">
      <c r="A104" s="397" t="s">
        <v>837</v>
      </c>
      <c r="B104" s="404"/>
      <c r="C104" s="404"/>
      <c r="D104" s="404"/>
      <c r="E104" s="404" t="s">
        <v>755</v>
      </c>
      <c r="F104" s="404">
        <v>4</v>
      </c>
      <c r="G104" s="404">
        <v>4</v>
      </c>
      <c r="H104" s="404">
        <v>6</v>
      </c>
      <c r="I104" s="404"/>
      <c r="J104" s="404"/>
      <c r="K104" s="404"/>
      <c r="L104" s="404"/>
      <c r="M104" s="404"/>
      <c r="N104" s="404"/>
      <c r="O104" s="404"/>
      <c r="P104" s="404"/>
      <c r="Q104" s="404"/>
      <c r="R104" s="404"/>
      <c r="S104" s="405">
        <v>216</v>
      </c>
      <c r="T104" s="404"/>
      <c r="U104" s="404"/>
      <c r="V104" s="404" t="s">
        <v>113</v>
      </c>
      <c r="W104" s="404"/>
      <c r="X104" s="404"/>
      <c r="Y104" s="404"/>
      <c r="Z104" s="404"/>
      <c r="AA104" s="404"/>
      <c r="AB104" s="404"/>
      <c r="AC104" s="404"/>
      <c r="AD104" s="406"/>
      <c r="AE104" s="402">
        <v>7252848</v>
      </c>
    </row>
    <row r="105" spans="1:31" x14ac:dyDescent="0.35">
      <c r="A105" s="397" t="s">
        <v>882</v>
      </c>
      <c r="B105" s="404"/>
      <c r="C105" s="404"/>
      <c r="D105" s="404"/>
      <c r="E105" s="404" t="s">
        <v>755</v>
      </c>
      <c r="F105" s="404">
        <v>4</v>
      </c>
      <c r="G105" s="404">
        <v>4</v>
      </c>
      <c r="H105" s="404">
        <v>7</v>
      </c>
      <c r="I105" s="404"/>
      <c r="J105" s="404"/>
      <c r="K105" s="404"/>
      <c r="L105" s="404"/>
      <c r="M105" s="404"/>
      <c r="N105" s="404"/>
      <c r="O105" s="404"/>
      <c r="P105" s="404"/>
      <c r="Q105" s="404"/>
      <c r="R105" s="404"/>
      <c r="S105" s="405">
        <v>212</v>
      </c>
      <c r="T105" s="404"/>
      <c r="U105" s="404"/>
      <c r="V105" s="404" t="s">
        <v>113</v>
      </c>
      <c r="W105" s="404"/>
      <c r="X105" s="404"/>
      <c r="Y105" s="404"/>
      <c r="Z105" s="404"/>
      <c r="AA105" s="404"/>
      <c r="AB105" s="404"/>
      <c r="AC105" s="404"/>
      <c r="AD105" s="406"/>
      <c r="AE105" s="402">
        <v>8165816</v>
      </c>
    </row>
    <row r="106" spans="1:31" x14ac:dyDescent="0.35">
      <c r="A106" s="397" t="s">
        <v>838</v>
      </c>
      <c r="B106" s="404"/>
      <c r="C106" s="404"/>
      <c r="D106" s="404"/>
      <c r="E106" s="404" t="s">
        <v>755</v>
      </c>
      <c r="F106" s="404">
        <v>4</v>
      </c>
      <c r="G106" s="404">
        <v>4</v>
      </c>
      <c r="H106" s="404">
        <v>8</v>
      </c>
      <c r="I106" s="404"/>
      <c r="J106" s="404"/>
      <c r="K106" s="404"/>
      <c r="L106" s="404"/>
      <c r="M106" s="404"/>
      <c r="N106" s="404"/>
      <c r="O106" s="404"/>
      <c r="P106" s="404"/>
      <c r="Q106" s="404"/>
      <c r="R106" s="404"/>
      <c r="S106" s="405">
        <v>219</v>
      </c>
      <c r="T106" s="404"/>
      <c r="U106" s="404"/>
      <c r="V106" s="404" t="s">
        <v>113</v>
      </c>
      <c r="W106" s="404"/>
      <c r="X106" s="404"/>
      <c r="Y106" s="404"/>
      <c r="Z106" s="404"/>
      <c r="AA106" s="404"/>
      <c r="AB106" s="404"/>
      <c r="AC106" s="404"/>
      <c r="AD106" s="406"/>
      <c r="AE106" s="402">
        <v>7353582</v>
      </c>
    </row>
    <row r="107" spans="1:31" x14ac:dyDescent="0.35">
      <c r="A107" s="397" t="s">
        <v>883</v>
      </c>
      <c r="B107" s="404"/>
      <c r="C107" s="404"/>
      <c r="D107" s="404"/>
      <c r="E107" s="404" t="s">
        <v>755</v>
      </c>
      <c r="F107" s="404">
        <v>4</v>
      </c>
      <c r="G107" s="404">
        <v>4</v>
      </c>
      <c r="H107" s="404">
        <v>9</v>
      </c>
      <c r="I107" s="404"/>
      <c r="J107" s="404"/>
      <c r="K107" s="404"/>
      <c r="L107" s="404"/>
      <c r="M107" s="404"/>
      <c r="N107" s="404"/>
      <c r="O107" s="404"/>
      <c r="P107" s="404"/>
      <c r="Q107" s="404"/>
      <c r="R107" s="404"/>
      <c r="S107" s="405">
        <v>212</v>
      </c>
      <c r="T107" s="404"/>
      <c r="U107" s="404"/>
      <c r="V107" s="404" t="s">
        <v>113</v>
      </c>
      <c r="W107" s="404"/>
      <c r="X107" s="404"/>
      <c r="Y107" s="404"/>
      <c r="Z107" s="404"/>
      <c r="AA107" s="404"/>
      <c r="AB107" s="404"/>
      <c r="AC107" s="404"/>
      <c r="AD107" s="406"/>
      <c r="AE107" s="402">
        <v>8165816</v>
      </c>
    </row>
    <row r="108" spans="1:31" x14ac:dyDescent="0.35">
      <c r="A108" s="397" t="s">
        <v>839</v>
      </c>
      <c r="B108" s="404"/>
      <c r="C108" s="404"/>
      <c r="D108" s="404"/>
      <c r="E108" s="404" t="s">
        <v>755</v>
      </c>
      <c r="F108" s="404">
        <v>4</v>
      </c>
      <c r="G108" s="404">
        <v>4</v>
      </c>
      <c r="H108" s="404">
        <v>10</v>
      </c>
      <c r="I108" s="404"/>
      <c r="J108" s="404"/>
      <c r="K108" s="404"/>
      <c r="L108" s="404"/>
      <c r="M108" s="404"/>
      <c r="N108" s="404"/>
      <c r="O108" s="404"/>
      <c r="P108" s="404"/>
      <c r="Q108" s="404"/>
      <c r="R108" s="404"/>
      <c r="S108" s="405">
        <v>226</v>
      </c>
      <c r="T108" s="404"/>
      <c r="U108" s="404"/>
      <c r="V108" s="404" t="s">
        <v>113</v>
      </c>
      <c r="W108" s="404"/>
      <c r="X108" s="404"/>
      <c r="Y108" s="404"/>
      <c r="Z108" s="404"/>
      <c r="AA108" s="404"/>
      <c r="AB108" s="404"/>
      <c r="AC108" s="404"/>
      <c r="AD108" s="406"/>
      <c r="AE108" s="402">
        <v>7588628</v>
      </c>
    </row>
    <row r="109" spans="1:31" x14ac:dyDescent="0.35">
      <c r="A109" s="397" t="s">
        <v>884</v>
      </c>
      <c r="B109" s="404"/>
      <c r="C109" s="404"/>
      <c r="D109" s="404"/>
      <c r="E109" s="404" t="s">
        <v>755</v>
      </c>
      <c r="F109" s="404">
        <v>4</v>
      </c>
      <c r="G109" s="404">
        <v>4</v>
      </c>
      <c r="H109" s="404">
        <v>11</v>
      </c>
      <c r="I109" s="404"/>
      <c r="J109" s="404"/>
      <c r="K109" s="404"/>
      <c r="L109" s="404"/>
      <c r="M109" s="404"/>
      <c r="N109" s="404"/>
      <c r="O109" s="404"/>
      <c r="P109" s="404"/>
      <c r="Q109" s="404"/>
      <c r="R109" s="404"/>
      <c r="S109" s="405">
        <v>212</v>
      </c>
      <c r="T109" s="404"/>
      <c r="U109" s="404"/>
      <c r="V109" s="404" t="s">
        <v>113</v>
      </c>
      <c r="W109" s="404"/>
      <c r="X109" s="404"/>
      <c r="Y109" s="404"/>
      <c r="Z109" s="404"/>
      <c r="AA109" s="404"/>
      <c r="AB109" s="404"/>
      <c r="AC109" s="404"/>
      <c r="AD109" s="406"/>
      <c r="AE109" s="402">
        <v>8165816</v>
      </c>
    </row>
    <row r="110" spans="1:31" x14ac:dyDescent="0.35">
      <c r="A110" s="397" t="s">
        <v>840</v>
      </c>
      <c r="B110" s="404"/>
      <c r="C110" s="404"/>
      <c r="D110" s="404"/>
      <c r="E110" s="404" t="s">
        <v>755</v>
      </c>
      <c r="F110" s="404">
        <v>4</v>
      </c>
      <c r="G110" s="404">
        <v>4</v>
      </c>
      <c r="H110" s="404">
        <v>12</v>
      </c>
      <c r="I110" s="404"/>
      <c r="J110" s="404"/>
      <c r="K110" s="404"/>
      <c r="L110" s="404"/>
      <c r="M110" s="404"/>
      <c r="N110" s="404"/>
      <c r="O110" s="404"/>
      <c r="P110" s="404"/>
      <c r="Q110" s="404"/>
      <c r="R110" s="404"/>
      <c r="S110" s="405">
        <v>233</v>
      </c>
      <c r="T110" s="404"/>
      <c r="U110" s="404"/>
      <c r="V110" s="404" t="s">
        <v>113</v>
      </c>
      <c r="W110" s="404"/>
      <c r="X110" s="404"/>
      <c r="Y110" s="404"/>
      <c r="Z110" s="404"/>
      <c r="AA110" s="404"/>
      <c r="AB110" s="404"/>
      <c r="AC110" s="404"/>
      <c r="AD110" s="406"/>
      <c r="AE110" s="402">
        <v>7823674</v>
      </c>
    </row>
    <row r="111" spans="1:31" x14ac:dyDescent="0.35">
      <c r="A111" s="397" t="s">
        <v>885</v>
      </c>
      <c r="B111" s="404"/>
      <c r="C111" s="404"/>
      <c r="D111" s="404"/>
      <c r="E111" s="404" t="s">
        <v>755</v>
      </c>
      <c r="F111" s="404">
        <v>4</v>
      </c>
      <c r="G111" s="404">
        <v>4</v>
      </c>
      <c r="H111" s="404">
        <v>13</v>
      </c>
      <c r="I111" s="404"/>
      <c r="J111" s="404"/>
      <c r="K111" s="404"/>
      <c r="L111" s="404"/>
      <c r="M111" s="404"/>
      <c r="N111" s="404"/>
      <c r="O111" s="404"/>
      <c r="P111" s="404"/>
      <c r="Q111" s="404"/>
      <c r="R111" s="404"/>
      <c r="S111" s="405">
        <v>212</v>
      </c>
      <c r="T111" s="404"/>
      <c r="U111" s="404"/>
      <c r="V111" s="404" t="s">
        <v>113</v>
      </c>
      <c r="W111" s="404"/>
      <c r="X111" s="404"/>
      <c r="Y111" s="404"/>
      <c r="Z111" s="404"/>
      <c r="AA111" s="404"/>
      <c r="AB111" s="404"/>
      <c r="AC111" s="404"/>
      <c r="AD111" s="406"/>
      <c r="AE111" s="402">
        <v>8165816</v>
      </c>
    </row>
    <row r="112" spans="1:31" x14ac:dyDescent="0.35">
      <c r="A112" s="397" t="s">
        <v>841</v>
      </c>
      <c r="B112" s="404"/>
      <c r="C112" s="404"/>
      <c r="D112" s="404"/>
      <c r="E112" s="404" t="s">
        <v>755</v>
      </c>
      <c r="F112" s="404">
        <v>4</v>
      </c>
      <c r="G112" s="404">
        <v>4</v>
      </c>
      <c r="H112" s="404">
        <v>14</v>
      </c>
      <c r="I112" s="404"/>
      <c r="J112" s="404"/>
      <c r="K112" s="404"/>
      <c r="L112" s="404"/>
      <c r="M112" s="404"/>
      <c r="N112" s="404"/>
      <c r="O112" s="404"/>
      <c r="P112" s="404"/>
      <c r="Q112" s="404"/>
      <c r="R112" s="404"/>
      <c r="S112" s="405">
        <v>240</v>
      </c>
      <c r="T112" s="404"/>
      <c r="U112" s="404"/>
      <c r="V112" s="404" t="s">
        <v>113</v>
      </c>
      <c r="W112" s="404"/>
      <c r="X112" s="404"/>
      <c r="Y112" s="404"/>
      <c r="Z112" s="404"/>
      <c r="AA112" s="404"/>
      <c r="AB112" s="404"/>
      <c r="AC112" s="404"/>
      <c r="AD112" s="406"/>
      <c r="AE112" s="402">
        <v>8058720</v>
      </c>
    </row>
    <row r="113" spans="1:31" x14ac:dyDescent="0.35">
      <c r="A113" s="397" t="s">
        <v>886</v>
      </c>
      <c r="B113" s="404"/>
      <c r="C113" s="404"/>
      <c r="D113" s="404"/>
      <c r="E113" s="404" t="s">
        <v>755</v>
      </c>
      <c r="F113" s="404">
        <v>4</v>
      </c>
      <c r="G113" s="404">
        <v>4</v>
      </c>
      <c r="H113" s="404">
        <v>15</v>
      </c>
      <c r="I113" s="404"/>
      <c r="J113" s="404"/>
      <c r="K113" s="404"/>
      <c r="L113" s="404"/>
      <c r="M113" s="404"/>
      <c r="N113" s="404"/>
      <c r="O113" s="404"/>
      <c r="P113" s="404"/>
      <c r="Q113" s="404"/>
      <c r="R113" s="404"/>
      <c r="S113" s="405">
        <v>213</v>
      </c>
      <c r="T113" s="404"/>
      <c r="U113" s="404"/>
      <c r="V113" s="404" t="s">
        <v>113</v>
      </c>
      <c r="W113" s="404"/>
      <c r="X113" s="404"/>
      <c r="Y113" s="404"/>
      <c r="Z113" s="404"/>
      <c r="AA113" s="404"/>
      <c r="AB113" s="404"/>
      <c r="AC113" s="404"/>
      <c r="AD113" s="406"/>
      <c r="AE113" s="402">
        <v>8204334</v>
      </c>
    </row>
    <row r="114" spans="1:31" x14ac:dyDescent="0.35">
      <c r="A114" s="397" t="s">
        <v>835</v>
      </c>
      <c r="B114" s="404"/>
      <c r="C114" s="404"/>
      <c r="D114" s="404"/>
      <c r="E114" s="404" t="s">
        <v>755</v>
      </c>
      <c r="F114" s="404">
        <v>4</v>
      </c>
      <c r="G114" s="404">
        <v>4</v>
      </c>
      <c r="H114" s="404">
        <v>16</v>
      </c>
      <c r="I114" s="404"/>
      <c r="J114" s="404"/>
      <c r="K114" s="404"/>
      <c r="L114" s="404"/>
      <c r="M114" s="404"/>
      <c r="N114" s="404"/>
      <c r="O114" s="404"/>
      <c r="P114" s="404"/>
      <c r="Q114" s="404"/>
      <c r="R114" s="404"/>
      <c r="S114" s="405">
        <v>247</v>
      </c>
      <c r="T114" s="404"/>
      <c r="U114" s="404"/>
      <c r="V114" s="404" t="s">
        <v>113</v>
      </c>
      <c r="W114" s="404"/>
      <c r="X114" s="404"/>
      <c r="Y114" s="404"/>
      <c r="Z114" s="404"/>
      <c r="AA114" s="404"/>
      <c r="AB114" s="404"/>
      <c r="AC114" s="404"/>
      <c r="AD114" s="406"/>
      <c r="AE114" s="402">
        <v>8293766</v>
      </c>
    </row>
    <row r="115" spans="1:31" x14ac:dyDescent="0.35">
      <c r="A115" s="397" t="s">
        <v>887</v>
      </c>
      <c r="B115" s="404"/>
      <c r="C115" s="404"/>
      <c r="D115" s="404"/>
      <c r="E115" s="404" t="s">
        <v>755</v>
      </c>
      <c r="F115" s="404">
        <v>4</v>
      </c>
      <c r="G115" s="404">
        <v>4</v>
      </c>
      <c r="H115" s="404">
        <v>17</v>
      </c>
      <c r="I115" s="404"/>
      <c r="J115" s="404"/>
      <c r="K115" s="404"/>
      <c r="L115" s="404"/>
      <c r="M115" s="404"/>
      <c r="N115" s="404"/>
      <c r="O115" s="404"/>
      <c r="P115" s="404"/>
      <c r="Q115" s="404"/>
      <c r="R115" s="404"/>
      <c r="S115" s="405">
        <v>336</v>
      </c>
      <c r="T115" s="404"/>
      <c r="U115" s="404"/>
      <c r="V115" s="404" t="s">
        <v>113</v>
      </c>
      <c r="W115" s="404"/>
      <c r="X115" s="404"/>
      <c r="Y115" s="404"/>
      <c r="Z115" s="404"/>
      <c r="AA115" s="404"/>
      <c r="AB115" s="404"/>
      <c r="AC115" s="404"/>
      <c r="AD115" s="406"/>
      <c r="AE115" s="402">
        <v>14050848</v>
      </c>
    </row>
    <row r="116" spans="1:31" x14ac:dyDescent="0.35">
      <c r="A116" s="397" t="s">
        <v>842</v>
      </c>
      <c r="B116" s="404"/>
      <c r="C116" s="404"/>
      <c r="D116" s="404"/>
      <c r="E116" s="404" t="s">
        <v>755</v>
      </c>
      <c r="F116" s="404">
        <v>4</v>
      </c>
      <c r="G116" s="404">
        <v>4</v>
      </c>
      <c r="H116" s="404">
        <v>18</v>
      </c>
      <c r="I116" s="404"/>
      <c r="J116" s="404"/>
      <c r="K116" s="404"/>
      <c r="L116" s="404"/>
      <c r="M116" s="404"/>
      <c r="N116" s="404"/>
      <c r="O116" s="404"/>
      <c r="P116" s="404"/>
      <c r="Q116" s="404"/>
      <c r="R116" s="404"/>
      <c r="S116" s="405">
        <v>254</v>
      </c>
      <c r="T116" s="404"/>
      <c r="U116" s="404"/>
      <c r="V116" s="404" t="s">
        <v>113</v>
      </c>
      <c r="W116" s="404"/>
      <c r="X116" s="404"/>
      <c r="Y116" s="404"/>
      <c r="Z116" s="404"/>
      <c r="AA116" s="404"/>
      <c r="AB116" s="404"/>
      <c r="AC116" s="404"/>
      <c r="AD116" s="406"/>
      <c r="AE116" s="402">
        <v>8528812</v>
      </c>
    </row>
    <row r="117" spans="1:31" x14ac:dyDescent="0.35">
      <c r="A117" s="397" t="s">
        <v>843</v>
      </c>
      <c r="B117" s="404"/>
      <c r="C117" s="404"/>
      <c r="D117" s="404"/>
      <c r="E117" s="404" t="s">
        <v>755</v>
      </c>
      <c r="F117" s="404">
        <v>4</v>
      </c>
      <c r="G117" s="404">
        <v>4</v>
      </c>
      <c r="H117" s="404">
        <v>19</v>
      </c>
      <c r="I117" s="404"/>
      <c r="J117" s="404"/>
      <c r="K117" s="404"/>
      <c r="L117" s="404"/>
      <c r="M117" s="404"/>
      <c r="N117" s="404"/>
      <c r="O117" s="404"/>
      <c r="P117" s="404"/>
      <c r="Q117" s="404"/>
      <c r="R117" s="404"/>
      <c r="S117" s="405">
        <v>280</v>
      </c>
      <c r="T117" s="404"/>
      <c r="U117" s="404"/>
      <c r="V117" s="404" t="s">
        <v>113</v>
      </c>
      <c r="W117" s="404"/>
      <c r="X117" s="404"/>
      <c r="Y117" s="404"/>
      <c r="Z117" s="404"/>
      <c r="AA117" s="404"/>
      <c r="AB117" s="404"/>
      <c r="AC117" s="404"/>
      <c r="AD117" s="406"/>
      <c r="AE117" s="402">
        <v>10325840</v>
      </c>
    </row>
    <row r="118" spans="1:31" x14ac:dyDescent="0.35">
      <c r="A118" s="397" t="s">
        <v>844</v>
      </c>
      <c r="B118" s="404"/>
      <c r="C118" s="404"/>
      <c r="D118" s="404"/>
      <c r="E118" s="404" t="s">
        <v>755</v>
      </c>
      <c r="F118" s="404">
        <v>5</v>
      </c>
      <c r="G118" s="404">
        <v>5</v>
      </c>
      <c r="H118" s="404">
        <v>2</v>
      </c>
      <c r="I118" s="404"/>
      <c r="J118" s="404"/>
      <c r="K118" s="404"/>
      <c r="L118" s="404"/>
      <c r="M118" s="404"/>
      <c r="N118" s="404"/>
      <c r="O118" s="404"/>
      <c r="P118" s="404"/>
      <c r="Q118" s="404"/>
      <c r="R118" s="404"/>
      <c r="S118" s="405">
        <v>373</v>
      </c>
      <c r="T118" s="404"/>
      <c r="U118" s="404"/>
      <c r="V118" s="404" t="s">
        <v>113</v>
      </c>
      <c r="W118" s="404"/>
      <c r="X118" s="404"/>
      <c r="Y118" s="404"/>
      <c r="Z118" s="404"/>
      <c r="AA118" s="404"/>
      <c r="AB118" s="404"/>
      <c r="AC118" s="404"/>
      <c r="AD118" s="406"/>
      <c r="AE118" s="402">
        <v>13509314</v>
      </c>
    </row>
    <row r="119" spans="1:31" x14ac:dyDescent="0.35">
      <c r="A119" s="397" t="s">
        <v>845</v>
      </c>
      <c r="B119" s="404"/>
      <c r="C119" s="404"/>
      <c r="D119" s="404"/>
      <c r="E119" s="404" t="s">
        <v>755</v>
      </c>
      <c r="F119" s="404">
        <v>5</v>
      </c>
      <c r="G119" s="404">
        <v>5</v>
      </c>
      <c r="H119" s="404">
        <v>3</v>
      </c>
      <c r="I119" s="404"/>
      <c r="J119" s="404"/>
      <c r="K119" s="404"/>
      <c r="L119" s="404"/>
      <c r="M119" s="404"/>
      <c r="N119" s="404"/>
      <c r="O119" s="404"/>
      <c r="P119" s="404"/>
      <c r="Q119" s="404"/>
      <c r="R119" s="404"/>
      <c r="S119" s="405">
        <v>235</v>
      </c>
      <c r="T119" s="404"/>
      <c r="U119" s="404"/>
      <c r="V119" s="404" t="s">
        <v>113</v>
      </c>
      <c r="W119" s="404"/>
      <c r="X119" s="404"/>
      <c r="Y119" s="404"/>
      <c r="Z119" s="404"/>
      <c r="AA119" s="404"/>
      <c r="AB119" s="404"/>
      <c r="AC119" s="404"/>
      <c r="AD119" s="406"/>
      <c r="AE119" s="402">
        <v>8511230</v>
      </c>
    </row>
    <row r="120" spans="1:31" x14ac:dyDescent="0.35">
      <c r="A120" s="397" t="s">
        <v>848</v>
      </c>
      <c r="B120" s="404"/>
      <c r="C120" s="404"/>
      <c r="D120" s="404"/>
      <c r="E120" s="404" t="s">
        <v>755</v>
      </c>
      <c r="F120" s="404">
        <v>5</v>
      </c>
      <c r="G120" s="404">
        <v>5</v>
      </c>
      <c r="H120" s="404">
        <v>4</v>
      </c>
      <c r="I120" s="404"/>
      <c r="J120" s="404"/>
      <c r="K120" s="404"/>
      <c r="L120" s="404"/>
      <c r="M120" s="404"/>
      <c r="N120" s="404"/>
      <c r="O120" s="404"/>
      <c r="P120" s="404"/>
      <c r="Q120" s="404"/>
      <c r="R120" s="404"/>
      <c r="S120" s="405">
        <v>238</v>
      </c>
      <c r="T120" s="404"/>
      <c r="U120" s="404"/>
      <c r="V120" s="404" t="s">
        <v>113</v>
      </c>
      <c r="W120" s="404"/>
      <c r="X120" s="404"/>
      <c r="Y120" s="404"/>
      <c r="Z120" s="404"/>
      <c r="AA120" s="404"/>
      <c r="AB120" s="404"/>
      <c r="AC120" s="404"/>
      <c r="AD120" s="406"/>
      <c r="AE120" s="402">
        <v>8619884</v>
      </c>
    </row>
    <row r="121" spans="1:31" x14ac:dyDescent="0.35">
      <c r="A121" s="397" t="s">
        <v>888</v>
      </c>
      <c r="B121" s="404"/>
      <c r="C121" s="404"/>
      <c r="D121" s="404"/>
      <c r="E121" s="404" t="s">
        <v>755</v>
      </c>
      <c r="F121" s="404">
        <v>5</v>
      </c>
      <c r="G121" s="404">
        <v>5</v>
      </c>
      <c r="H121" s="404">
        <v>5</v>
      </c>
      <c r="I121" s="404"/>
      <c r="J121" s="404"/>
      <c r="K121" s="404"/>
      <c r="L121" s="404"/>
      <c r="M121" s="404"/>
      <c r="N121" s="404"/>
      <c r="O121" s="404"/>
      <c r="P121" s="404"/>
      <c r="Q121" s="404"/>
      <c r="R121" s="404"/>
      <c r="S121" s="405">
        <v>233</v>
      </c>
      <c r="T121" s="404"/>
      <c r="U121" s="404"/>
      <c r="V121" s="404" t="s">
        <v>113</v>
      </c>
      <c r="W121" s="404"/>
      <c r="X121" s="404"/>
      <c r="Y121" s="404"/>
      <c r="Z121" s="404"/>
      <c r="AA121" s="404"/>
      <c r="AB121" s="404"/>
      <c r="AC121" s="404"/>
      <c r="AD121" s="406"/>
      <c r="AE121" s="402">
        <v>8438794</v>
      </c>
    </row>
    <row r="122" spans="1:31" x14ac:dyDescent="0.35">
      <c r="A122" s="397" t="s">
        <v>846</v>
      </c>
      <c r="B122" s="404"/>
      <c r="C122" s="404"/>
      <c r="D122" s="404"/>
      <c r="E122" s="404" t="s">
        <v>755</v>
      </c>
      <c r="F122" s="404">
        <v>5</v>
      </c>
      <c r="G122" s="404">
        <v>5</v>
      </c>
      <c r="H122" s="404">
        <v>6</v>
      </c>
      <c r="I122" s="404"/>
      <c r="J122" s="404"/>
      <c r="K122" s="404"/>
      <c r="L122" s="404"/>
      <c r="M122" s="404"/>
      <c r="N122" s="404"/>
      <c r="O122" s="404"/>
      <c r="P122" s="404"/>
      <c r="Q122" s="404"/>
      <c r="R122" s="404"/>
      <c r="S122" s="405">
        <v>228</v>
      </c>
      <c r="T122" s="404"/>
      <c r="U122" s="404"/>
      <c r="V122" s="404" t="s">
        <v>113</v>
      </c>
      <c r="W122" s="404"/>
      <c r="X122" s="404"/>
      <c r="Y122" s="404"/>
      <c r="Z122" s="404"/>
      <c r="AA122" s="404"/>
      <c r="AB122" s="404"/>
      <c r="AC122" s="404"/>
      <c r="AD122" s="406"/>
      <c r="AE122" s="402">
        <v>6378984</v>
      </c>
    </row>
    <row r="123" spans="1:31" x14ac:dyDescent="0.35">
      <c r="A123" s="397" t="s">
        <v>847</v>
      </c>
      <c r="B123" s="404"/>
      <c r="C123" s="404"/>
      <c r="D123" s="404"/>
      <c r="E123" s="404" t="s">
        <v>755</v>
      </c>
      <c r="F123" s="404">
        <v>5</v>
      </c>
      <c r="G123" s="404">
        <v>5</v>
      </c>
      <c r="H123" s="404">
        <v>7</v>
      </c>
      <c r="I123" s="404"/>
      <c r="J123" s="404"/>
      <c r="K123" s="404"/>
      <c r="L123" s="404"/>
      <c r="M123" s="404"/>
      <c r="N123" s="404"/>
      <c r="O123" s="404"/>
      <c r="P123" s="404"/>
      <c r="Q123" s="404"/>
      <c r="R123" s="404"/>
      <c r="S123" s="405">
        <v>224</v>
      </c>
      <c r="T123" s="404"/>
      <c r="U123" s="404"/>
      <c r="V123" s="404" t="s">
        <v>113</v>
      </c>
      <c r="W123" s="404"/>
      <c r="X123" s="404"/>
      <c r="Y123" s="404"/>
      <c r="Z123" s="404"/>
      <c r="AA123" s="404"/>
      <c r="AB123" s="404"/>
      <c r="AC123" s="404"/>
      <c r="AD123" s="406"/>
      <c r="AE123" s="402">
        <v>7743232</v>
      </c>
    </row>
    <row r="124" spans="1:31" x14ac:dyDescent="0.35">
      <c r="A124" s="397" t="s">
        <v>889</v>
      </c>
      <c r="B124" s="404"/>
      <c r="C124" s="404"/>
      <c r="D124" s="404"/>
      <c r="E124" s="404" t="s">
        <v>755</v>
      </c>
      <c r="F124" s="404">
        <v>5</v>
      </c>
      <c r="G124" s="404">
        <v>5</v>
      </c>
      <c r="H124" s="404">
        <v>8</v>
      </c>
      <c r="I124" s="404"/>
      <c r="J124" s="404"/>
      <c r="K124" s="404"/>
      <c r="L124" s="404"/>
      <c r="M124" s="404"/>
      <c r="N124" s="404"/>
      <c r="O124" s="404"/>
      <c r="P124" s="404"/>
      <c r="Q124" s="404"/>
      <c r="R124" s="404"/>
      <c r="S124" s="405">
        <v>341</v>
      </c>
      <c r="T124" s="404"/>
      <c r="U124" s="404"/>
      <c r="V124" s="404" t="s">
        <v>113</v>
      </c>
      <c r="W124" s="404"/>
      <c r="X124" s="404"/>
      <c r="Y124" s="404"/>
      <c r="Z124" s="404"/>
      <c r="AA124" s="404"/>
      <c r="AB124" s="404"/>
      <c r="AC124" s="404"/>
      <c r="AD124" s="406"/>
      <c r="AE124" s="402">
        <v>11787688</v>
      </c>
    </row>
    <row r="125" spans="1:31" x14ac:dyDescent="0.35">
      <c r="A125" s="397" t="s">
        <v>890</v>
      </c>
      <c r="B125" s="404"/>
      <c r="C125" s="404"/>
      <c r="D125" s="404"/>
      <c r="E125" s="404" t="s">
        <v>755</v>
      </c>
      <c r="F125" s="404">
        <v>5</v>
      </c>
      <c r="G125" s="404">
        <v>5</v>
      </c>
      <c r="H125" s="404">
        <v>9</v>
      </c>
      <c r="I125" s="404"/>
      <c r="J125" s="404"/>
      <c r="K125" s="404"/>
      <c r="L125" s="404"/>
      <c r="M125" s="404"/>
      <c r="N125" s="404"/>
      <c r="O125" s="404"/>
      <c r="P125" s="404"/>
      <c r="Q125" s="404"/>
      <c r="R125" s="404"/>
      <c r="S125" s="405">
        <v>307</v>
      </c>
      <c r="T125" s="404"/>
      <c r="U125" s="404"/>
      <c r="V125" s="404" t="s">
        <v>113</v>
      </c>
      <c r="W125" s="404"/>
      <c r="X125" s="404"/>
      <c r="Y125" s="404"/>
      <c r="Z125" s="404"/>
      <c r="AA125" s="404"/>
      <c r="AB125" s="404"/>
      <c r="AC125" s="404"/>
      <c r="AD125" s="406"/>
      <c r="AE125" s="402">
        <v>10612376</v>
      </c>
    </row>
    <row r="126" spans="1:31" x14ac:dyDescent="0.35">
      <c r="A126" s="397" t="s">
        <v>891</v>
      </c>
      <c r="B126" s="404"/>
      <c r="C126" s="404"/>
      <c r="D126" s="404"/>
      <c r="E126" s="404" t="s">
        <v>755</v>
      </c>
      <c r="F126" s="404">
        <v>5</v>
      </c>
      <c r="G126" s="404">
        <v>5</v>
      </c>
      <c r="H126" s="404">
        <v>10</v>
      </c>
      <c r="I126" s="404"/>
      <c r="J126" s="404"/>
      <c r="K126" s="404"/>
      <c r="L126" s="404"/>
      <c r="M126" s="404"/>
      <c r="N126" s="404"/>
      <c r="O126" s="404"/>
      <c r="P126" s="404"/>
      <c r="Q126" s="404"/>
      <c r="R126" s="404"/>
      <c r="S126" s="405">
        <v>334</v>
      </c>
      <c r="T126" s="404"/>
      <c r="U126" s="404"/>
      <c r="V126" s="404" t="s">
        <v>113</v>
      </c>
      <c r="W126" s="404"/>
      <c r="X126" s="404"/>
      <c r="Y126" s="404"/>
      <c r="Z126" s="404"/>
      <c r="AA126" s="404"/>
      <c r="AB126" s="404"/>
      <c r="AC126" s="404"/>
      <c r="AD126" s="406"/>
      <c r="AE126" s="402">
        <v>9344652</v>
      </c>
    </row>
    <row r="127" spans="1:31" x14ac:dyDescent="0.35">
      <c r="E127" s="404"/>
      <c r="F127" s="404"/>
      <c r="G127" s="404"/>
      <c r="H127" s="404"/>
      <c r="I127" s="404"/>
      <c r="J127" s="404"/>
      <c r="K127" s="404"/>
      <c r="L127" s="404"/>
      <c r="M127" s="404"/>
      <c r="N127" s="404"/>
      <c r="O127" s="404"/>
      <c r="P127" s="404"/>
      <c r="Q127" s="404"/>
      <c r="R127" s="404"/>
      <c r="S127" s="404"/>
      <c r="T127" s="404"/>
      <c r="U127" s="404"/>
      <c r="V127" s="404"/>
      <c r="W127" s="404"/>
      <c r="X127" s="404"/>
      <c r="Y127" s="404"/>
      <c r="Z127" s="404"/>
      <c r="AA127" s="404"/>
      <c r="AB127" s="404"/>
      <c r="AC127" s="404"/>
      <c r="AD127" s="406"/>
      <c r="AE127" s="406"/>
    </row>
    <row r="128" spans="1:31" x14ac:dyDescent="0.35">
      <c r="E128" s="404"/>
      <c r="F128" s="404"/>
      <c r="G128" s="404"/>
      <c r="H128" s="404"/>
      <c r="I128" s="404"/>
      <c r="J128" s="404"/>
      <c r="K128" s="404"/>
      <c r="L128" s="404"/>
      <c r="M128" s="404"/>
      <c r="N128" s="404"/>
      <c r="O128" s="404"/>
      <c r="P128" s="404"/>
      <c r="Q128" s="404"/>
      <c r="R128" s="404"/>
      <c r="S128" s="404"/>
      <c r="T128" s="404"/>
      <c r="U128" s="404"/>
      <c r="V128" s="404"/>
      <c r="W128" s="404"/>
      <c r="X128" s="404"/>
      <c r="Y128" s="404"/>
      <c r="Z128" s="404"/>
      <c r="AA128" s="404"/>
      <c r="AB128" s="404"/>
      <c r="AC128" s="404"/>
      <c r="AD128" s="406"/>
      <c r="AE128" s="406"/>
    </row>
    <row r="129" spans="5:31" x14ac:dyDescent="0.35">
      <c r="E129" s="404"/>
      <c r="F129" s="404"/>
      <c r="G129" s="404"/>
      <c r="H129" s="404"/>
      <c r="I129" s="404"/>
      <c r="J129" s="404"/>
      <c r="K129" s="404"/>
      <c r="L129" s="404"/>
      <c r="M129" s="404"/>
      <c r="N129" s="404"/>
      <c r="O129" s="404"/>
      <c r="P129" s="404"/>
      <c r="Q129" s="404"/>
      <c r="R129" s="404"/>
      <c r="S129" s="404"/>
      <c r="T129" s="404"/>
      <c r="U129" s="404"/>
      <c r="V129" s="404"/>
      <c r="W129" s="404"/>
      <c r="X129" s="404"/>
      <c r="Y129" s="404"/>
      <c r="Z129" s="404"/>
      <c r="AA129" s="404"/>
      <c r="AB129" s="404"/>
      <c r="AC129" s="404"/>
      <c r="AD129" s="406"/>
      <c r="AE129" s="406"/>
    </row>
    <row r="130" spans="5:31" x14ac:dyDescent="0.35">
      <c r="E130" s="404"/>
      <c r="F130" s="404"/>
      <c r="G130" s="404"/>
      <c r="H130" s="404"/>
      <c r="I130" s="404"/>
      <c r="J130" s="404"/>
      <c r="K130" s="404"/>
      <c r="L130" s="404"/>
      <c r="M130" s="404"/>
      <c r="N130" s="404"/>
      <c r="O130" s="404"/>
      <c r="P130" s="404"/>
      <c r="Q130" s="404"/>
      <c r="R130" s="404"/>
      <c r="S130" s="404"/>
      <c r="T130" s="404"/>
      <c r="U130" s="404"/>
      <c r="V130" s="404"/>
      <c r="W130" s="404"/>
      <c r="X130" s="404"/>
      <c r="Y130" s="404"/>
      <c r="Z130" s="404"/>
      <c r="AA130" s="404"/>
      <c r="AB130" s="404"/>
      <c r="AC130" s="404"/>
      <c r="AD130" s="406"/>
      <c r="AE130" s="406"/>
    </row>
    <row r="131" spans="5:31" x14ac:dyDescent="0.35">
      <c r="E131" s="404"/>
      <c r="F131" s="404"/>
      <c r="G131" s="404"/>
      <c r="H131" s="404"/>
      <c r="I131" s="404"/>
      <c r="J131" s="404"/>
      <c r="K131" s="404"/>
      <c r="L131" s="404"/>
      <c r="M131" s="404"/>
      <c r="N131" s="404"/>
      <c r="O131" s="404"/>
      <c r="P131" s="404"/>
      <c r="Q131" s="404"/>
      <c r="R131" s="404"/>
      <c r="S131" s="404"/>
      <c r="T131" s="404"/>
      <c r="U131" s="404"/>
      <c r="V131" s="404"/>
      <c r="W131" s="404"/>
      <c r="X131" s="404"/>
      <c r="Y131" s="404"/>
      <c r="Z131" s="404"/>
      <c r="AA131" s="404"/>
      <c r="AB131" s="404"/>
      <c r="AC131" s="404"/>
      <c r="AD131" s="406"/>
      <c r="AE131" s="406"/>
    </row>
    <row r="132" spans="5:31" x14ac:dyDescent="0.35">
      <c r="E132" s="404"/>
      <c r="F132" s="404"/>
      <c r="G132" s="404"/>
      <c r="H132" s="404"/>
      <c r="I132" s="404"/>
      <c r="J132" s="404"/>
      <c r="K132" s="404"/>
      <c r="L132" s="404"/>
      <c r="M132" s="404"/>
      <c r="N132" s="404"/>
      <c r="O132" s="404"/>
      <c r="P132" s="404"/>
      <c r="Q132" s="404"/>
      <c r="R132" s="404"/>
      <c r="S132" s="404"/>
      <c r="T132" s="404"/>
      <c r="U132" s="404"/>
      <c r="V132" s="404"/>
      <c r="W132" s="404"/>
      <c r="X132" s="404"/>
      <c r="Y132" s="404"/>
      <c r="Z132" s="404"/>
      <c r="AA132" s="404"/>
      <c r="AB132" s="404"/>
      <c r="AC132" s="404"/>
      <c r="AD132" s="406"/>
      <c r="AE132" s="406"/>
    </row>
    <row r="133" spans="5:31" x14ac:dyDescent="0.35">
      <c r="E133" s="404"/>
      <c r="F133" s="404"/>
      <c r="G133" s="404"/>
      <c r="H133" s="404"/>
      <c r="I133" s="404"/>
      <c r="J133" s="404"/>
      <c r="K133" s="404"/>
      <c r="L133" s="404"/>
      <c r="M133" s="404"/>
      <c r="N133" s="404"/>
      <c r="O133" s="404"/>
      <c r="P133" s="404"/>
      <c r="Q133" s="404"/>
      <c r="R133" s="404"/>
      <c r="S133" s="404"/>
      <c r="T133" s="404"/>
      <c r="U133" s="404"/>
      <c r="V133" s="404"/>
      <c r="W133" s="404"/>
      <c r="X133" s="404"/>
      <c r="Y133" s="404"/>
      <c r="Z133" s="404"/>
      <c r="AA133" s="404"/>
      <c r="AB133" s="404"/>
      <c r="AC133" s="404"/>
      <c r="AD133" s="406"/>
      <c r="AE133" s="406"/>
    </row>
    <row r="134" spans="5:31" x14ac:dyDescent="0.35">
      <c r="E134" s="404"/>
      <c r="F134" s="404"/>
      <c r="G134" s="404"/>
      <c r="H134" s="404"/>
      <c r="I134" s="404"/>
      <c r="J134" s="404"/>
      <c r="K134" s="404"/>
      <c r="L134" s="404"/>
      <c r="M134" s="404"/>
      <c r="N134" s="404"/>
      <c r="O134" s="404"/>
      <c r="P134" s="404"/>
      <c r="Q134" s="404"/>
      <c r="R134" s="404"/>
      <c r="S134" s="404"/>
      <c r="T134" s="404"/>
      <c r="U134" s="404"/>
      <c r="V134" s="404"/>
      <c r="W134" s="404"/>
      <c r="X134" s="404"/>
      <c r="Y134" s="404"/>
      <c r="Z134" s="404"/>
      <c r="AA134" s="404"/>
      <c r="AB134" s="404"/>
      <c r="AC134" s="404"/>
      <c r="AD134" s="406"/>
      <c r="AE134" s="406"/>
    </row>
    <row r="135" spans="5:31" x14ac:dyDescent="0.35">
      <c r="E135" s="404"/>
      <c r="F135" s="404"/>
      <c r="G135" s="404"/>
      <c r="H135" s="404"/>
      <c r="I135" s="404"/>
      <c r="J135" s="404"/>
      <c r="K135" s="404"/>
      <c r="L135" s="404"/>
      <c r="M135" s="404"/>
      <c r="N135" s="404"/>
      <c r="O135" s="404"/>
      <c r="P135" s="404"/>
      <c r="Q135" s="404"/>
      <c r="R135" s="404"/>
      <c r="S135" s="404"/>
      <c r="T135" s="404"/>
      <c r="U135" s="404"/>
      <c r="V135" s="404"/>
      <c r="W135" s="404"/>
      <c r="X135" s="404"/>
      <c r="Y135" s="404"/>
      <c r="Z135" s="404"/>
      <c r="AA135" s="404"/>
      <c r="AB135" s="404"/>
      <c r="AC135" s="404"/>
      <c r="AD135" s="406"/>
      <c r="AE135" s="406"/>
    </row>
    <row r="136" spans="5:31" x14ac:dyDescent="0.35">
      <c r="E136" s="404"/>
      <c r="F136" s="404"/>
      <c r="G136" s="404"/>
      <c r="H136" s="404"/>
      <c r="I136" s="404"/>
      <c r="J136" s="404"/>
      <c r="K136" s="404"/>
      <c r="L136" s="404"/>
      <c r="M136" s="404"/>
      <c r="N136" s="404"/>
      <c r="O136" s="404"/>
      <c r="P136" s="404"/>
      <c r="Q136" s="404"/>
      <c r="R136" s="404"/>
      <c r="S136" s="404"/>
      <c r="T136" s="404"/>
      <c r="U136" s="404"/>
      <c r="V136" s="404"/>
      <c r="W136" s="404"/>
      <c r="X136" s="404"/>
      <c r="Y136" s="404"/>
      <c r="Z136" s="404"/>
      <c r="AA136" s="404"/>
      <c r="AB136" s="404"/>
      <c r="AC136" s="404"/>
      <c r="AD136" s="406"/>
      <c r="AE136" s="406"/>
    </row>
    <row r="137" spans="5:31" x14ac:dyDescent="0.35">
      <c r="E137" s="404"/>
      <c r="F137" s="404"/>
      <c r="G137" s="404"/>
      <c r="H137" s="404"/>
      <c r="I137" s="404"/>
      <c r="J137" s="404"/>
      <c r="K137" s="404"/>
      <c r="L137" s="404"/>
      <c r="M137" s="404"/>
      <c r="N137" s="404"/>
      <c r="O137" s="404"/>
      <c r="P137" s="404"/>
      <c r="Q137" s="404"/>
      <c r="R137" s="404"/>
      <c r="S137" s="404"/>
      <c r="T137" s="404"/>
      <c r="U137" s="404"/>
      <c r="V137" s="404"/>
      <c r="W137" s="404"/>
      <c r="X137" s="404"/>
      <c r="Y137" s="404"/>
      <c r="Z137" s="404"/>
      <c r="AA137" s="404"/>
      <c r="AB137" s="404"/>
      <c r="AC137" s="404"/>
      <c r="AD137" s="406"/>
      <c r="AE137" s="406"/>
    </row>
    <row r="138" spans="5:31" x14ac:dyDescent="0.35">
      <c r="E138" s="404"/>
      <c r="F138" s="404"/>
      <c r="G138" s="404"/>
      <c r="H138" s="404"/>
      <c r="I138" s="404"/>
      <c r="J138" s="404"/>
      <c r="K138" s="404"/>
      <c r="L138" s="404"/>
      <c r="M138" s="404"/>
      <c r="N138" s="404"/>
      <c r="O138" s="404"/>
      <c r="P138" s="404"/>
      <c r="Q138" s="404"/>
      <c r="R138" s="404"/>
      <c r="S138" s="404"/>
      <c r="T138" s="404"/>
      <c r="U138" s="404"/>
      <c r="V138" s="404"/>
      <c r="W138" s="404"/>
      <c r="X138" s="404"/>
      <c r="Y138" s="404"/>
      <c r="Z138" s="404"/>
      <c r="AA138" s="404"/>
      <c r="AB138" s="404"/>
      <c r="AC138" s="404"/>
      <c r="AD138" s="406"/>
      <c r="AE138" s="406"/>
    </row>
    <row r="139" spans="5:31" x14ac:dyDescent="0.35">
      <c r="E139" s="404"/>
      <c r="F139" s="404"/>
      <c r="G139" s="404"/>
      <c r="H139" s="404"/>
      <c r="I139" s="404"/>
      <c r="J139" s="404"/>
      <c r="K139" s="404"/>
      <c r="L139" s="404"/>
      <c r="M139" s="404"/>
      <c r="N139" s="404"/>
      <c r="O139" s="404"/>
      <c r="P139" s="404"/>
      <c r="Q139" s="404"/>
      <c r="R139" s="404"/>
      <c r="S139" s="404"/>
      <c r="T139" s="404"/>
      <c r="U139" s="404"/>
      <c r="V139" s="404"/>
      <c r="W139" s="404"/>
      <c r="X139" s="404"/>
      <c r="Y139" s="404"/>
      <c r="Z139" s="404"/>
      <c r="AA139" s="404"/>
      <c r="AB139" s="404"/>
      <c r="AC139" s="404"/>
      <c r="AD139" s="406"/>
      <c r="AE139" s="406"/>
    </row>
    <row r="140" spans="5:31" x14ac:dyDescent="0.35">
      <c r="E140" s="404"/>
      <c r="F140" s="404"/>
      <c r="G140" s="404"/>
      <c r="H140" s="404"/>
      <c r="I140" s="404"/>
      <c r="J140" s="404"/>
      <c r="K140" s="404"/>
      <c r="L140" s="404"/>
      <c r="M140" s="404"/>
      <c r="N140" s="404"/>
      <c r="O140" s="404"/>
      <c r="P140" s="404"/>
      <c r="Q140" s="404"/>
      <c r="R140" s="404"/>
      <c r="S140" s="404"/>
      <c r="T140" s="404"/>
      <c r="U140" s="404"/>
      <c r="V140" s="404"/>
      <c r="W140" s="404"/>
      <c r="X140" s="404"/>
      <c r="Y140" s="404"/>
      <c r="Z140" s="404"/>
      <c r="AA140" s="404"/>
      <c r="AB140" s="404"/>
      <c r="AC140" s="404"/>
      <c r="AD140" s="406"/>
      <c r="AE140" s="406"/>
    </row>
    <row r="141" spans="5:31" x14ac:dyDescent="0.35">
      <c r="E141" s="404"/>
      <c r="F141" s="404"/>
      <c r="G141" s="404"/>
      <c r="H141" s="404"/>
      <c r="I141" s="404"/>
      <c r="J141" s="404"/>
      <c r="K141" s="404"/>
      <c r="L141" s="404"/>
      <c r="M141" s="404"/>
      <c r="N141" s="404"/>
      <c r="O141" s="404"/>
      <c r="P141" s="404"/>
      <c r="Q141" s="404"/>
      <c r="R141" s="404"/>
      <c r="S141" s="404"/>
      <c r="T141" s="404"/>
      <c r="U141" s="404"/>
      <c r="V141" s="404"/>
      <c r="W141" s="404"/>
      <c r="X141" s="404"/>
      <c r="Y141" s="404"/>
      <c r="Z141" s="404"/>
      <c r="AA141" s="404"/>
      <c r="AB141" s="404"/>
      <c r="AC141" s="404"/>
      <c r="AD141" s="406"/>
      <c r="AE141" s="406"/>
    </row>
    <row r="142" spans="5:31" x14ac:dyDescent="0.35">
      <c r="E142" s="404"/>
      <c r="F142" s="404"/>
      <c r="G142" s="404"/>
      <c r="H142" s="404"/>
      <c r="I142" s="404"/>
      <c r="J142" s="404"/>
      <c r="K142" s="404"/>
      <c r="L142" s="404"/>
      <c r="M142" s="404"/>
      <c r="N142" s="404"/>
      <c r="O142" s="404"/>
      <c r="P142" s="404"/>
      <c r="Q142" s="404"/>
      <c r="R142" s="404"/>
      <c r="S142" s="404"/>
      <c r="T142" s="404"/>
      <c r="U142" s="404"/>
      <c r="V142" s="404"/>
      <c r="W142" s="404"/>
      <c r="X142" s="404"/>
      <c r="Y142" s="404"/>
      <c r="Z142" s="404"/>
      <c r="AA142" s="404"/>
      <c r="AB142" s="404"/>
      <c r="AC142" s="404"/>
      <c r="AD142" s="406"/>
      <c r="AE142" s="406"/>
    </row>
    <row r="143" spans="5:31" x14ac:dyDescent="0.35">
      <c r="E143" s="404"/>
      <c r="F143" s="404"/>
      <c r="G143" s="404"/>
      <c r="H143" s="404"/>
      <c r="I143" s="404"/>
      <c r="J143" s="404"/>
      <c r="K143" s="404"/>
      <c r="L143" s="404"/>
      <c r="M143" s="404"/>
      <c r="N143" s="404"/>
      <c r="O143" s="404"/>
      <c r="P143" s="404"/>
      <c r="Q143" s="404"/>
      <c r="R143" s="404"/>
      <c r="S143" s="404"/>
      <c r="T143" s="404"/>
      <c r="U143" s="404"/>
      <c r="V143" s="404"/>
      <c r="W143" s="404"/>
      <c r="X143" s="404"/>
      <c r="Y143" s="404"/>
      <c r="Z143" s="404"/>
      <c r="AA143" s="404"/>
      <c r="AB143" s="404"/>
      <c r="AC143" s="404"/>
      <c r="AD143" s="406"/>
      <c r="AE143" s="406"/>
    </row>
    <row r="144" spans="5:31" x14ac:dyDescent="0.35">
      <c r="E144" s="404"/>
      <c r="F144" s="404"/>
      <c r="G144" s="404"/>
      <c r="H144" s="404"/>
      <c r="I144" s="404"/>
      <c r="J144" s="404"/>
      <c r="K144" s="404"/>
      <c r="L144" s="404"/>
      <c r="M144" s="404"/>
      <c r="N144" s="404"/>
      <c r="O144" s="404"/>
      <c r="P144" s="404"/>
      <c r="Q144" s="404"/>
      <c r="R144" s="404"/>
      <c r="S144" s="404"/>
      <c r="T144" s="404"/>
      <c r="U144" s="404"/>
      <c r="V144" s="404"/>
      <c r="W144" s="404"/>
      <c r="X144" s="404"/>
      <c r="Y144" s="404"/>
      <c r="Z144" s="404"/>
      <c r="AA144" s="404"/>
      <c r="AB144" s="404"/>
      <c r="AC144" s="404"/>
      <c r="AD144" s="406"/>
      <c r="AE144" s="406"/>
    </row>
    <row r="145" spans="5:31" x14ac:dyDescent="0.35">
      <c r="E145" s="404"/>
      <c r="F145" s="404"/>
      <c r="G145" s="404"/>
      <c r="H145" s="404"/>
      <c r="I145" s="404"/>
      <c r="J145" s="404"/>
      <c r="K145" s="404"/>
      <c r="L145" s="404"/>
      <c r="M145" s="404"/>
      <c r="N145" s="404"/>
      <c r="O145" s="404"/>
      <c r="P145" s="404"/>
      <c r="Q145" s="404"/>
      <c r="R145" s="404"/>
      <c r="S145" s="404"/>
      <c r="T145" s="404"/>
      <c r="U145" s="404"/>
      <c r="V145" s="404"/>
      <c r="W145" s="404"/>
      <c r="X145" s="404"/>
      <c r="Y145" s="404"/>
      <c r="Z145" s="404"/>
      <c r="AA145" s="404"/>
      <c r="AB145" s="404"/>
      <c r="AC145" s="404"/>
      <c r="AD145" s="406"/>
      <c r="AE145" s="406"/>
    </row>
    <row r="146" spans="5:31" x14ac:dyDescent="0.35">
      <c r="E146" s="404"/>
      <c r="F146" s="404"/>
      <c r="G146" s="404"/>
      <c r="H146" s="404"/>
      <c r="I146" s="404"/>
      <c r="J146" s="404"/>
      <c r="K146" s="404"/>
      <c r="L146" s="404"/>
      <c r="M146" s="404"/>
      <c r="N146" s="404"/>
      <c r="O146" s="404"/>
      <c r="P146" s="404"/>
      <c r="Q146" s="404"/>
      <c r="R146" s="404"/>
      <c r="S146" s="404"/>
      <c r="T146" s="404"/>
      <c r="U146" s="404"/>
      <c r="V146" s="404"/>
      <c r="W146" s="404"/>
      <c r="X146" s="404"/>
      <c r="Y146" s="404"/>
      <c r="Z146" s="404"/>
      <c r="AA146" s="404"/>
      <c r="AB146" s="404"/>
      <c r="AC146" s="404"/>
      <c r="AD146" s="406"/>
      <c r="AE146" s="406"/>
    </row>
    <row r="147" spans="5:31" x14ac:dyDescent="0.35">
      <c r="E147" s="404"/>
      <c r="F147" s="404"/>
      <c r="G147" s="404"/>
      <c r="H147" s="404"/>
      <c r="I147" s="404"/>
      <c r="J147" s="404"/>
      <c r="K147" s="404"/>
      <c r="L147" s="404"/>
      <c r="M147" s="404"/>
      <c r="N147" s="404"/>
      <c r="O147" s="404"/>
      <c r="P147" s="404"/>
      <c r="Q147" s="404"/>
      <c r="R147" s="404"/>
      <c r="S147" s="404"/>
      <c r="T147" s="404"/>
      <c r="U147" s="404"/>
      <c r="V147" s="404"/>
      <c r="W147" s="404"/>
      <c r="X147" s="404"/>
      <c r="Y147" s="404"/>
      <c r="Z147" s="404"/>
      <c r="AA147" s="404"/>
      <c r="AB147" s="404"/>
      <c r="AC147" s="404"/>
      <c r="AD147" s="406"/>
      <c r="AE147" s="406"/>
    </row>
    <row r="148" spans="5:31" x14ac:dyDescent="0.35">
      <c r="E148" s="404"/>
      <c r="F148" s="404"/>
      <c r="G148" s="404"/>
      <c r="H148" s="404"/>
      <c r="I148" s="404"/>
      <c r="J148" s="404"/>
      <c r="K148" s="404"/>
      <c r="L148" s="404"/>
      <c r="M148" s="404"/>
      <c r="N148" s="404"/>
      <c r="O148" s="404"/>
      <c r="P148" s="404"/>
      <c r="Q148" s="404"/>
      <c r="R148" s="404"/>
      <c r="S148" s="404"/>
      <c r="T148" s="404"/>
      <c r="U148" s="404"/>
      <c r="V148" s="404"/>
      <c r="W148" s="404"/>
      <c r="X148" s="404"/>
      <c r="Y148" s="404"/>
      <c r="Z148" s="404"/>
      <c r="AA148" s="404"/>
      <c r="AB148" s="404"/>
      <c r="AC148" s="404"/>
      <c r="AD148" s="406"/>
      <c r="AE148" s="406"/>
    </row>
    <row r="149" spans="5:31" x14ac:dyDescent="0.35">
      <c r="E149" s="404"/>
      <c r="F149" s="404"/>
      <c r="G149" s="404"/>
      <c r="H149" s="404"/>
      <c r="I149" s="404"/>
      <c r="J149" s="404"/>
      <c r="K149" s="404"/>
      <c r="L149" s="404"/>
      <c r="M149" s="404"/>
      <c r="N149" s="404"/>
      <c r="O149" s="404"/>
      <c r="P149" s="404"/>
      <c r="Q149" s="404"/>
      <c r="R149" s="404"/>
      <c r="S149" s="404"/>
      <c r="T149" s="404"/>
      <c r="U149" s="404"/>
      <c r="V149" s="404"/>
      <c r="W149" s="404"/>
      <c r="X149" s="404"/>
      <c r="Y149" s="404"/>
      <c r="Z149" s="404"/>
      <c r="AA149" s="404"/>
      <c r="AB149" s="404"/>
      <c r="AC149" s="404"/>
      <c r="AD149" s="406"/>
      <c r="AE149" s="406"/>
    </row>
    <row r="150" spans="5:31" x14ac:dyDescent="0.35">
      <c r="E150" s="404"/>
      <c r="F150" s="404"/>
      <c r="G150" s="404"/>
      <c r="H150" s="404"/>
      <c r="I150" s="404"/>
      <c r="J150" s="404"/>
      <c r="K150" s="404"/>
      <c r="L150" s="404"/>
      <c r="M150" s="404"/>
      <c r="N150" s="404"/>
      <c r="O150" s="404"/>
      <c r="P150" s="404"/>
      <c r="Q150" s="404"/>
      <c r="R150" s="404"/>
      <c r="S150" s="404"/>
      <c r="T150" s="404"/>
      <c r="U150" s="404"/>
      <c r="V150" s="404"/>
      <c r="W150" s="404"/>
      <c r="X150" s="404"/>
      <c r="Y150" s="404"/>
      <c r="Z150" s="404"/>
      <c r="AA150" s="404"/>
      <c r="AB150" s="404"/>
      <c r="AC150" s="404"/>
      <c r="AD150" s="406"/>
      <c r="AE150" s="406"/>
    </row>
    <row r="151" spans="5:31" x14ac:dyDescent="0.35">
      <c r="E151" s="404"/>
      <c r="F151" s="404"/>
      <c r="G151" s="404"/>
      <c r="H151" s="404"/>
      <c r="I151" s="404"/>
      <c r="J151" s="404"/>
      <c r="K151" s="404"/>
      <c r="L151" s="404"/>
      <c r="M151" s="404"/>
      <c r="N151" s="404"/>
      <c r="O151" s="404"/>
      <c r="P151" s="404"/>
      <c r="Q151" s="404"/>
      <c r="R151" s="404"/>
      <c r="S151" s="404"/>
      <c r="T151" s="404"/>
      <c r="U151" s="404"/>
      <c r="V151" s="404"/>
      <c r="W151" s="404"/>
      <c r="X151" s="404"/>
      <c r="Y151" s="404"/>
      <c r="Z151" s="404"/>
      <c r="AA151" s="404"/>
      <c r="AB151" s="404"/>
      <c r="AC151" s="404"/>
      <c r="AD151" s="406"/>
      <c r="AE151" s="406"/>
    </row>
    <row r="152" spans="5:31" x14ac:dyDescent="0.35">
      <c r="E152" s="404"/>
      <c r="F152" s="404"/>
      <c r="G152" s="404"/>
      <c r="H152" s="404"/>
      <c r="I152" s="404"/>
      <c r="J152" s="404"/>
      <c r="K152" s="404"/>
      <c r="L152" s="404"/>
      <c r="M152" s="404"/>
      <c r="N152" s="404"/>
      <c r="O152" s="404"/>
      <c r="P152" s="404"/>
      <c r="Q152" s="404"/>
      <c r="R152" s="404"/>
      <c r="S152" s="404"/>
      <c r="T152" s="404"/>
      <c r="U152" s="404"/>
      <c r="V152" s="404"/>
      <c r="W152" s="404"/>
      <c r="X152" s="404"/>
      <c r="Y152" s="404"/>
      <c r="Z152" s="404"/>
      <c r="AA152" s="404"/>
      <c r="AB152" s="404"/>
      <c r="AC152" s="404"/>
      <c r="AD152" s="406"/>
      <c r="AE152" s="406"/>
    </row>
    <row r="153" spans="5:31" x14ac:dyDescent="0.35">
      <c r="E153" s="404"/>
      <c r="F153" s="404"/>
      <c r="G153" s="404"/>
      <c r="H153" s="404"/>
      <c r="I153" s="404"/>
      <c r="J153" s="404"/>
      <c r="K153" s="404"/>
      <c r="L153" s="404"/>
      <c r="M153" s="404"/>
      <c r="N153" s="404"/>
      <c r="O153" s="404"/>
      <c r="P153" s="404"/>
      <c r="Q153" s="404"/>
      <c r="R153" s="404"/>
      <c r="S153" s="404"/>
      <c r="T153" s="404"/>
      <c r="U153" s="404"/>
      <c r="V153" s="404"/>
      <c r="W153" s="404"/>
      <c r="X153" s="404"/>
      <c r="Y153" s="404"/>
      <c r="Z153" s="404"/>
      <c r="AA153" s="404"/>
      <c r="AB153" s="404"/>
      <c r="AC153" s="404"/>
      <c r="AD153" s="406"/>
      <c r="AE153" s="406"/>
    </row>
    <row r="154" spans="5:31" x14ac:dyDescent="0.35">
      <c r="E154" s="404"/>
      <c r="F154" s="404"/>
      <c r="G154" s="404"/>
      <c r="H154" s="404"/>
      <c r="I154" s="404"/>
      <c r="J154" s="404"/>
      <c r="K154" s="404"/>
      <c r="L154" s="404"/>
      <c r="M154" s="404"/>
      <c r="N154" s="404"/>
      <c r="O154" s="404"/>
      <c r="P154" s="404"/>
      <c r="Q154" s="404"/>
      <c r="R154" s="404"/>
      <c r="S154" s="404"/>
      <c r="T154" s="404"/>
      <c r="U154" s="404"/>
      <c r="V154" s="404"/>
      <c r="W154" s="404"/>
      <c r="X154" s="404"/>
      <c r="Y154" s="404"/>
      <c r="Z154" s="404"/>
      <c r="AA154" s="404"/>
      <c r="AB154" s="404"/>
      <c r="AC154" s="404"/>
      <c r="AD154" s="406"/>
      <c r="AE154" s="406"/>
    </row>
    <row r="155" spans="5:31" x14ac:dyDescent="0.35">
      <c r="E155" s="404"/>
      <c r="F155" s="404"/>
      <c r="G155" s="404"/>
      <c r="H155" s="404"/>
      <c r="I155" s="404"/>
      <c r="J155" s="404"/>
      <c r="K155" s="404"/>
      <c r="L155" s="404"/>
      <c r="M155" s="404"/>
      <c r="N155" s="404"/>
      <c r="O155" s="404"/>
      <c r="P155" s="404"/>
      <c r="Q155" s="404"/>
      <c r="R155" s="404"/>
      <c r="S155" s="404"/>
      <c r="T155" s="404"/>
      <c r="U155" s="404"/>
      <c r="V155" s="404"/>
      <c r="W155" s="404"/>
      <c r="X155" s="404"/>
      <c r="Y155" s="404"/>
      <c r="Z155" s="404"/>
      <c r="AA155" s="404"/>
      <c r="AB155" s="404"/>
      <c r="AC155" s="404"/>
      <c r="AD155" s="406"/>
      <c r="AE155" s="406"/>
    </row>
    <row r="156" spans="5:31" x14ac:dyDescent="0.35">
      <c r="E156" s="404"/>
      <c r="F156" s="404"/>
      <c r="G156" s="404"/>
      <c r="H156" s="404"/>
      <c r="I156" s="404"/>
      <c r="J156" s="404"/>
      <c r="K156" s="404"/>
      <c r="L156" s="404"/>
      <c r="M156" s="404"/>
      <c r="N156" s="404"/>
      <c r="O156" s="404"/>
      <c r="P156" s="404"/>
      <c r="Q156" s="404"/>
      <c r="R156" s="404"/>
      <c r="S156" s="404"/>
      <c r="T156" s="404"/>
      <c r="U156" s="404"/>
      <c r="V156" s="404"/>
      <c r="W156" s="404"/>
      <c r="X156" s="404"/>
      <c r="Y156" s="404"/>
      <c r="Z156" s="404"/>
      <c r="AA156" s="404"/>
      <c r="AB156" s="404"/>
      <c r="AC156" s="404"/>
      <c r="AD156" s="406"/>
      <c r="AE156" s="406"/>
    </row>
    <row r="157" spans="5:31" x14ac:dyDescent="0.35">
      <c r="E157" s="404"/>
      <c r="F157" s="404"/>
      <c r="G157" s="404"/>
      <c r="H157" s="404"/>
      <c r="I157" s="404"/>
      <c r="J157" s="404"/>
      <c r="K157" s="404"/>
      <c r="L157" s="404"/>
      <c r="M157" s="404"/>
      <c r="N157" s="404"/>
      <c r="O157" s="404"/>
      <c r="P157" s="404"/>
      <c r="Q157" s="404"/>
      <c r="R157" s="404"/>
      <c r="S157" s="404"/>
      <c r="T157" s="404"/>
      <c r="U157" s="404"/>
      <c r="V157" s="404"/>
      <c r="W157" s="404"/>
      <c r="X157" s="404"/>
      <c r="Y157" s="404"/>
      <c r="Z157" s="404"/>
      <c r="AA157" s="404"/>
      <c r="AB157" s="404"/>
      <c r="AC157" s="404"/>
      <c r="AD157" s="406"/>
      <c r="AE157" s="406"/>
    </row>
    <row r="158" spans="5:31" x14ac:dyDescent="0.35">
      <c r="E158" s="404"/>
      <c r="F158" s="404"/>
      <c r="G158" s="404"/>
      <c r="H158" s="404"/>
      <c r="I158" s="404"/>
      <c r="J158" s="404"/>
      <c r="K158" s="404"/>
      <c r="L158" s="404"/>
      <c r="M158" s="404"/>
      <c r="N158" s="404"/>
      <c r="O158" s="404"/>
      <c r="P158" s="404"/>
      <c r="Q158" s="404"/>
      <c r="R158" s="404"/>
      <c r="S158" s="404"/>
      <c r="T158" s="404"/>
      <c r="U158" s="404"/>
      <c r="V158" s="404"/>
      <c r="W158" s="404"/>
      <c r="X158" s="404"/>
      <c r="Y158" s="404"/>
      <c r="Z158" s="404"/>
      <c r="AA158" s="404"/>
      <c r="AB158" s="404"/>
      <c r="AC158" s="404"/>
      <c r="AD158" s="406"/>
      <c r="AE158" s="406"/>
    </row>
    <row r="159" spans="5:31" x14ac:dyDescent="0.35">
      <c r="E159" s="404"/>
      <c r="F159" s="404"/>
      <c r="G159" s="404"/>
      <c r="H159" s="404"/>
      <c r="I159" s="404"/>
      <c r="J159" s="404"/>
      <c r="K159" s="404"/>
      <c r="L159" s="404"/>
      <c r="M159" s="404"/>
      <c r="N159" s="404"/>
      <c r="O159" s="404"/>
      <c r="P159" s="404"/>
      <c r="Q159" s="404"/>
      <c r="R159" s="404"/>
      <c r="S159" s="404"/>
      <c r="T159" s="404"/>
      <c r="U159" s="404"/>
      <c r="V159" s="404"/>
      <c r="W159" s="404"/>
      <c r="X159" s="404"/>
      <c r="Y159" s="404"/>
      <c r="Z159" s="404"/>
      <c r="AA159" s="404"/>
      <c r="AB159" s="404"/>
      <c r="AC159" s="404"/>
      <c r="AD159" s="406"/>
      <c r="AE159" s="406"/>
    </row>
    <row r="160" spans="5:31" x14ac:dyDescent="0.35">
      <c r="E160" s="404"/>
      <c r="F160" s="404"/>
      <c r="G160" s="404"/>
      <c r="H160" s="404"/>
      <c r="I160" s="404"/>
      <c r="J160" s="404"/>
      <c r="K160" s="404"/>
      <c r="L160" s="404"/>
      <c r="M160" s="404"/>
      <c r="N160" s="404"/>
      <c r="O160" s="404"/>
      <c r="P160" s="404"/>
      <c r="Q160" s="404"/>
      <c r="R160" s="404"/>
      <c r="S160" s="404"/>
      <c r="T160" s="404"/>
      <c r="U160" s="404"/>
      <c r="V160" s="404"/>
      <c r="W160" s="404"/>
      <c r="X160" s="404"/>
      <c r="Y160" s="404"/>
      <c r="Z160" s="404"/>
      <c r="AA160" s="404"/>
      <c r="AB160" s="404"/>
      <c r="AC160" s="404"/>
      <c r="AD160" s="406"/>
      <c r="AE160" s="406"/>
    </row>
    <row r="161" spans="5:31" x14ac:dyDescent="0.35">
      <c r="E161" s="404"/>
      <c r="F161" s="404"/>
      <c r="G161" s="404"/>
      <c r="H161" s="404"/>
      <c r="I161" s="404"/>
      <c r="J161" s="404"/>
      <c r="K161" s="404"/>
      <c r="L161" s="404"/>
      <c r="M161" s="404"/>
      <c r="N161" s="404"/>
      <c r="O161" s="404"/>
      <c r="P161" s="404"/>
      <c r="Q161" s="404"/>
      <c r="R161" s="404"/>
      <c r="S161" s="404"/>
      <c r="T161" s="404"/>
      <c r="U161" s="404"/>
      <c r="V161" s="404"/>
      <c r="W161" s="404"/>
      <c r="X161" s="404"/>
      <c r="Y161" s="404"/>
      <c r="Z161" s="404"/>
      <c r="AA161" s="404"/>
      <c r="AB161" s="404"/>
      <c r="AC161" s="404"/>
      <c r="AD161" s="406"/>
      <c r="AE161" s="406"/>
    </row>
    <row r="162" spans="5:31" x14ac:dyDescent="0.35">
      <c r="E162" s="404"/>
      <c r="F162" s="404"/>
      <c r="G162" s="404"/>
      <c r="H162" s="404"/>
      <c r="I162" s="404"/>
      <c r="J162" s="404"/>
      <c r="K162" s="404"/>
      <c r="L162" s="404"/>
      <c r="M162" s="404"/>
      <c r="N162" s="404"/>
      <c r="O162" s="404"/>
      <c r="P162" s="404"/>
      <c r="Q162" s="404"/>
      <c r="R162" s="404"/>
      <c r="S162" s="404"/>
      <c r="T162" s="404"/>
      <c r="U162" s="404"/>
      <c r="V162" s="404"/>
      <c r="W162" s="404"/>
      <c r="X162" s="404"/>
      <c r="Y162" s="404"/>
      <c r="Z162" s="404"/>
      <c r="AA162" s="404"/>
      <c r="AB162" s="404"/>
      <c r="AC162" s="404"/>
      <c r="AD162" s="406"/>
      <c r="AE162" s="406"/>
    </row>
    <row r="163" spans="5:31" x14ac:dyDescent="0.35">
      <c r="E163" s="404"/>
      <c r="F163" s="404"/>
      <c r="G163" s="404"/>
      <c r="H163" s="404"/>
      <c r="I163" s="404"/>
      <c r="J163" s="404"/>
      <c r="K163" s="404"/>
      <c r="L163" s="404"/>
      <c r="M163" s="404"/>
      <c r="N163" s="404"/>
      <c r="O163" s="404"/>
      <c r="P163" s="404"/>
      <c r="Q163" s="404"/>
      <c r="R163" s="404"/>
      <c r="S163" s="404"/>
      <c r="T163" s="404"/>
      <c r="U163" s="404"/>
      <c r="V163" s="404"/>
      <c r="W163" s="404"/>
      <c r="X163" s="404"/>
      <c r="Y163" s="404"/>
      <c r="Z163" s="404"/>
      <c r="AA163" s="404"/>
      <c r="AB163" s="404"/>
      <c r="AC163" s="404"/>
      <c r="AD163" s="406"/>
      <c r="AE163" s="406"/>
    </row>
    <row r="164" spans="5:31" x14ac:dyDescent="0.35">
      <c r="E164" s="404"/>
      <c r="F164" s="404"/>
      <c r="G164" s="404"/>
      <c r="H164" s="404"/>
      <c r="I164" s="404"/>
      <c r="J164" s="404"/>
      <c r="K164" s="404"/>
      <c r="L164" s="404"/>
      <c r="M164" s="404"/>
      <c r="N164" s="404"/>
      <c r="O164" s="404"/>
      <c r="P164" s="404"/>
      <c r="Q164" s="404"/>
      <c r="R164" s="404"/>
      <c r="S164" s="404"/>
      <c r="T164" s="404"/>
      <c r="U164" s="404"/>
      <c r="V164" s="404"/>
      <c r="W164" s="404"/>
      <c r="X164" s="404"/>
      <c r="Y164" s="404"/>
      <c r="Z164" s="404"/>
      <c r="AA164" s="404"/>
      <c r="AB164" s="404"/>
      <c r="AC164" s="404"/>
      <c r="AD164" s="406"/>
      <c r="AE164" s="406"/>
    </row>
    <row r="165" spans="5:31" x14ac:dyDescent="0.35">
      <c r="E165" s="404"/>
      <c r="F165" s="404"/>
      <c r="G165" s="404"/>
      <c r="H165" s="404"/>
      <c r="I165" s="404"/>
      <c r="J165" s="404"/>
      <c r="K165" s="404"/>
      <c r="L165" s="404"/>
      <c r="M165" s="404"/>
      <c r="N165" s="404"/>
      <c r="O165" s="404"/>
      <c r="P165" s="404"/>
      <c r="Q165" s="404"/>
      <c r="R165" s="404"/>
      <c r="S165" s="404"/>
      <c r="T165" s="404"/>
      <c r="U165" s="404"/>
      <c r="V165" s="404"/>
      <c r="W165" s="404"/>
      <c r="X165" s="404"/>
      <c r="Y165" s="404"/>
      <c r="Z165" s="404"/>
      <c r="AA165" s="404"/>
      <c r="AB165" s="404"/>
      <c r="AC165" s="404"/>
      <c r="AD165" s="406"/>
      <c r="AE165" s="406"/>
    </row>
    <row r="166" spans="5:31" x14ac:dyDescent="0.35">
      <c r="E166" s="404"/>
      <c r="F166" s="404"/>
      <c r="G166" s="404"/>
      <c r="H166" s="404"/>
      <c r="I166" s="404"/>
      <c r="J166" s="404"/>
      <c r="K166" s="404"/>
      <c r="L166" s="404"/>
      <c r="M166" s="404"/>
      <c r="N166" s="404"/>
      <c r="O166" s="404"/>
      <c r="P166" s="404"/>
      <c r="Q166" s="404"/>
      <c r="R166" s="404"/>
      <c r="S166" s="404"/>
      <c r="T166" s="404"/>
      <c r="U166" s="404"/>
      <c r="V166" s="404"/>
      <c r="W166" s="404"/>
      <c r="X166" s="404"/>
      <c r="Y166" s="404"/>
      <c r="Z166" s="404"/>
      <c r="AA166" s="404"/>
      <c r="AB166" s="404"/>
      <c r="AC166" s="404"/>
      <c r="AD166" s="406"/>
      <c r="AE166" s="406"/>
    </row>
    <row r="167" spans="5:31" x14ac:dyDescent="0.35">
      <c r="E167" s="404"/>
      <c r="F167" s="404"/>
      <c r="G167" s="404"/>
      <c r="H167" s="404"/>
      <c r="I167" s="404"/>
      <c r="J167" s="404"/>
      <c r="K167" s="404"/>
      <c r="L167" s="404"/>
      <c r="M167" s="404"/>
      <c r="N167" s="404"/>
      <c r="O167" s="404"/>
      <c r="P167" s="404"/>
      <c r="Q167" s="404"/>
      <c r="R167" s="404"/>
      <c r="S167" s="404"/>
      <c r="T167" s="404"/>
      <c r="U167" s="404"/>
      <c r="V167" s="404"/>
      <c r="W167" s="404"/>
      <c r="X167" s="404"/>
      <c r="Y167" s="404"/>
      <c r="Z167" s="404"/>
      <c r="AA167" s="404"/>
      <c r="AB167" s="404"/>
      <c r="AC167" s="404"/>
      <c r="AD167" s="406"/>
      <c r="AE167" s="406"/>
    </row>
    <row r="168" spans="5:31" x14ac:dyDescent="0.35">
      <c r="E168" s="404"/>
      <c r="F168" s="404"/>
      <c r="G168" s="404"/>
      <c r="H168" s="404"/>
      <c r="I168" s="404"/>
      <c r="J168" s="404"/>
      <c r="K168" s="404"/>
      <c r="L168" s="404"/>
      <c r="M168" s="404"/>
      <c r="N168" s="404"/>
      <c r="O168" s="404"/>
      <c r="P168" s="404"/>
      <c r="Q168" s="404"/>
      <c r="R168" s="404"/>
      <c r="S168" s="404"/>
      <c r="T168" s="404"/>
      <c r="U168" s="404"/>
      <c r="V168" s="404"/>
      <c r="W168" s="404"/>
      <c r="X168" s="404"/>
      <c r="Y168" s="404"/>
      <c r="Z168" s="404"/>
      <c r="AA168" s="404"/>
      <c r="AB168" s="404"/>
      <c r="AC168" s="404"/>
      <c r="AD168" s="406"/>
      <c r="AE168" s="406"/>
    </row>
    <row r="169" spans="5:31" x14ac:dyDescent="0.35">
      <c r="E169" s="404"/>
      <c r="F169" s="404"/>
      <c r="G169" s="404"/>
      <c r="H169" s="404"/>
      <c r="I169" s="404"/>
      <c r="J169" s="404"/>
      <c r="K169" s="404"/>
      <c r="L169" s="404"/>
      <c r="M169" s="404"/>
      <c r="N169" s="404"/>
      <c r="O169" s="404"/>
      <c r="P169" s="404"/>
      <c r="Q169" s="404"/>
      <c r="R169" s="404"/>
      <c r="S169" s="404"/>
      <c r="T169" s="404"/>
      <c r="U169" s="404"/>
      <c r="V169" s="404"/>
      <c r="W169" s="404"/>
      <c r="X169" s="404"/>
      <c r="Y169" s="404"/>
      <c r="Z169" s="404"/>
      <c r="AA169" s="404"/>
      <c r="AB169" s="404"/>
      <c r="AC169" s="404"/>
      <c r="AD169" s="406"/>
      <c r="AE169" s="406"/>
    </row>
    <row r="170" spans="5:31" x14ac:dyDescent="0.35">
      <c r="E170" s="404"/>
      <c r="F170" s="404"/>
      <c r="G170" s="404"/>
      <c r="H170" s="404"/>
      <c r="I170" s="404"/>
      <c r="J170" s="404"/>
      <c r="K170" s="404"/>
      <c r="L170" s="404"/>
      <c r="M170" s="404"/>
      <c r="N170" s="404"/>
      <c r="O170" s="404"/>
      <c r="P170" s="404"/>
      <c r="Q170" s="404"/>
      <c r="R170" s="404"/>
      <c r="S170" s="404"/>
      <c r="T170" s="404"/>
      <c r="U170" s="404"/>
      <c r="V170" s="404"/>
      <c r="W170" s="404"/>
      <c r="X170" s="404"/>
      <c r="Y170" s="404"/>
      <c r="Z170" s="404"/>
      <c r="AA170" s="404"/>
      <c r="AB170" s="404"/>
      <c r="AC170" s="404"/>
      <c r="AD170" s="406"/>
      <c r="AE170" s="406"/>
    </row>
    <row r="171" spans="5:31" x14ac:dyDescent="0.35">
      <c r="E171" s="404"/>
      <c r="F171" s="404"/>
      <c r="G171" s="404"/>
      <c r="H171" s="404"/>
      <c r="I171" s="404"/>
      <c r="J171" s="404"/>
      <c r="K171" s="404"/>
      <c r="L171" s="404"/>
      <c r="M171" s="404"/>
      <c r="N171" s="404"/>
      <c r="O171" s="404"/>
      <c r="P171" s="404"/>
      <c r="Q171" s="404"/>
      <c r="R171" s="404"/>
      <c r="S171" s="404"/>
      <c r="T171" s="404"/>
      <c r="U171" s="404"/>
      <c r="V171" s="404"/>
      <c r="W171" s="404"/>
      <c r="X171" s="404"/>
      <c r="Y171" s="404"/>
      <c r="Z171" s="404"/>
      <c r="AA171" s="404"/>
      <c r="AB171" s="404"/>
      <c r="AC171" s="404"/>
      <c r="AD171" s="406"/>
      <c r="AE171" s="406"/>
    </row>
    <row r="172" spans="5:31" x14ac:dyDescent="0.35">
      <c r="E172" s="404"/>
      <c r="F172" s="404"/>
      <c r="G172" s="404"/>
      <c r="H172" s="404"/>
      <c r="I172" s="404"/>
      <c r="J172" s="404"/>
      <c r="K172" s="404"/>
      <c r="L172" s="404"/>
      <c r="M172" s="404"/>
      <c r="N172" s="404"/>
      <c r="O172" s="404"/>
      <c r="P172" s="404"/>
      <c r="Q172" s="404"/>
      <c r="R172" s="404"/>
      <c r="S172" s="404"/>
      <c r="T172" s="404"/>
      <c r="U172" s="404"/>
      <c r="V172" s="404"/>
      <c r="W172" s="404"/>
      <c r="X172" s="404"/>
      <c r="Y172" s="404"/>
      <c r="Z172" s="404"/>
      <c r="AA172" s="404"/>
      <c r="AB172" s="404"/>
      <c r="AC172" s="404"/>
      <c r="AD172" s="406"/>
      <c r="AE172" s="406"/>
    </row>
    <row r="173" spans="5:31" x14ac:dyDescent="0.35">
      <c r="E173" s="404"/>
      <c r="F173" s="404"/>
      <c r="G173" s="404"/>
      <c r="H173" s="404"/>
      <c r="I173" s="404"/>
      <c r="J173" s="404"/>
      <c r="K173" s="404"/>
      <c r="L173" s="404"/>
      <c r="M173" s="404"/>
      <c r="N173" s="404"/>
      <c r="O173" s="404"/>
      <c r="P173" s="404"/>
      <c r="Q173" s="404"/>
      <c r="R173" s="404"/>
      <c r="S173" s="404"/>
      <c r="T173" s="404"/>
      <c r="U173" s="404"/>
      <c r="V173" s="404"/>
      <c r="W173" s="404"/>
      <c r="X173" s="404"/>
      <c r="Y173" s="404"/>
      <c r="Z173" s="404"/>
      <c r="AA173" s="404"/>
      <c r="AB173" s="404"/>
      <c r="AC173" s="404"/>
      <c r="AD173" s="406"/>
      <c r="AE173" s="406"/>
    </row>
    <row r="174" spans="5:31" x14ac:dyDescent="0.35">
      <c r="E174" s="404"/>
      <c r="F174" s="404"/>
      <c r="G174" s="404"/>
      <c r="H174" s="404"/>
      <c r="I174" s="404"/>
      <c r="J174" s="404"/>
      <c r="K174" s="404"/>
      <c r="L174" s="404"/>
      <c r="M174" s="404"/>
      <c r="N174" s="404"/>
      <c r="O174" s="404"/>
      <c r="P174" s="404"/>
      <c r="Q174" s="404"/>
      <c r="R174" s="404"/>
      <c r="S174" s="404"/>
      <c r="T174" s="404"/>
      <c r="U174" s="404"/>
      <c r="V174" s="404"/>
      <c r="W174" s="404"/>
      <c r="X174" s="404"/>
      <c r="Y174" s="404"/>
      <c r="Z174" s="404"/>
      <c r="AA174" s="404"/>
      <c r="AB174" s="404"/>
      <c r="AC174" s="404"/>
      <c r="AD174" s="406"/>
      <c r="AE174" s="406"/>
    </row>
    <row r="175" spans="5:31" x14ac:dyDescent="0.35">
      <c r="E175" s="404"/>
      <c r="F175" s="404"/>
      <c r="G175" s="404"/>
      <c r="H175" s="404"/>
      <c r="I175" s="404"/>
      <c r="J175" s="404"/>
      <c r="K175" s="404"/>
      <c r="L175" s="404"/>
      <c r="M175" s="404"/>
      <c r="N175" s="404"/>
      <c r="O175" s="404"/>
      <c r="P175" s="404"/>
      <c r="Q175" s="404"/>
      <c r="R175" s="404"/>
      <c r="S175" s="404"/>
      <c r="T175" s="404"/>
      <c r="U175" s="404"/>
      <c r="V175" s="404"/>
      <c r="W175" s="404"/>
      <c r="X175" s="404"/>
      <c r="Y175" s="404"/>
      <c r="Z175" s="404"/>
      <c r="AA175" s="404"/>
      <c r="AB175" s="404"/>
      <c r="AC175" s="404"/>
      <c r="AD175" s="406"/>
      <c r="AE175" s="406"/>
    </row>
    <row r="176" spans="5:31" x14ac:dyDescent="0.35">
      <c r="E176" s="404"/>
      <c r="F176" s="404"/>
      <c r="G176" s="404"/>
      <c r="H176" s="404"/>
      <c r="I176" s="404"/>
      <c r="J176" s="404"/>
      <c r="K176" s="404"/>
      <c r="L176" s="404"/>
      <c r="M176" s="404"/>
      <c r="N176" s="404"/>
      <c r="O176" s="404"/>
      <c r="P176" s="404"/>
      <c r="Q176" s="404"/>
      <c r="R176" s="404"/>
      <c r="S176" s="404"/>
      <c r="T176" s="404"/>
      <c r="U176" s="404"/>
      <c r="V176" s="404"/>
      <c r="W176" s="404"/>
      <c r="X176" s="404"/>
      <c r="Y176" s="404"/>
      <c r="Z176" s="404"/>
      <c r="AA176" s="404"/>
      <c r="AB176" s="404"/>
      <c r="AC176" s="404"/>
      <c r="AD176" s="406"/>
      <c r="AE176" s="406"/>
    </row>
    <row r="177" spans="5:31" x14ac:dyDescent="0.35">
      <c r="E177" s="404"/>
      <c r="F177" s="404"/>
      <c r="G177" s="404"/>
      <c r="H177" s="404"/>
      <c r="I177" s="404"/>
      <c r="J177" s="404"/>
      <c r="K177" s="404"/>
      <c r="L177" s="404"/>
      <c r="M177" s="404"/>
      <c r="N177" s="404"/>
      <c r="O177" s="404"/>
      <c r="P177" s="404"/>
      <c r="Q177" s="404"/>
      <c r="R177" s="404"/>
      <c r="S177" s="404"/>
      <c r="T177" s="404"/>
      <c r="U177" s="404"/>
      <c r="V177" s="404"/>
      <c r="W177" s="404"/>
      <c r="X177" s="404"/>
      <c r="Y177" s="404"/>
      <c r="Z177" s="404"/>
      <c r="AA177" s="404"/>
      <c r="AB177" s="404"/>
      <c r="AC177" s="404"/>
      <c r="AD177" s="406"/>
      <c r="AE177" s="406"/>
    </row>
    <row r="178" spans="5:31" x14ac:dyDescent="0.35">
      <c r="E178" s="404"/>
      <c r="F178" s="404"/>
      <c r="G178" s="404"/>
      <c r="H178" s="404"/>
      <c r="I178" s="404"/>
      <c r="J178" s="404"/>
      <c r="K178" s="404"/>
      <c r="L178" s="404"/>
      <c r="M178" s="404"/>
      <c r="N178" s="404"/>
      <c r="O178" s="404"/>
      <c r="P178" s="404"/>
      <c r="Q178" s="404"/>
      <c r="R178" s="404"/>
      <c r="S178" s="404"/>
      <c r="T178" s="404"/>
      <c r="U178" s="404"/>
      <c r="V178" s="404"/>
      <c r="W178" s="404"/>
      <c r="X178" s="404"/>
      <c r="Y178" s="404"/>
      <c r="Z178" s="404"/>
      <c r="AA178" s="404"/>
      <c r="AB178" s="404"/>
      <c r="AC178" s="404"/>
      <c r="AD178" s="406"/>
      <c r="AE178" s="406"/>
    </row>
    <row r="179" spans="5:31" x14ac:dyDescent="0.35">
      <c r="E179" s="404"/>
      <c r="F179" s="404"/>
      <c r="G179" s="404"/>
      <c r="H179" s="404"/>
      <c r="I179" s="404"/>
      <c r="J179" s="404"/>
      <c r="K179" s="404"/>
      <c r="L179" s="404"/>
      <c r="M179" s="404"/>
      <c r="N179" s="404"/>
      <c r="O179" s="404"/>
      <c r="P179" s="404"/>
      <c r="Q179" s="404"/>
      <c r="R179" s="404"/>
      <c r="S179" s="404"/>
      <c r="T179" s="404"/>
      <c r="U179" s="404"/>
      <c r="V179" s="404"/>
      <c r="W179" s="404"/>
      <c r="X179" s="404"/>
      <c r="Y179" s="404"/>
      <c r="Z179" s="404"/>
      <c r="AA179" s="404"/>
      <c r="AB179" s="404"/>
      <c r="AC179" s="404"/>
      <c r="AD179" s="406"/>
      <c r="AE179" s="406"/>
    </row>
    <row r="180" spans="5:31" x14ac:dyDescent="0.35">
      <c r="E180" s="404"/>
      <c r="F180" s="404"/>
      <c r="G180" s="404"/>
      <c r="H180" s="404"/>
      <c r="I180" s="404"/>
      <c r="J180" s="404"/>
      <c r="K180" s="404"/>
      <c r="L180" s="404"/>
      <c r="M180" s="404"/>
      <c r="N180" s="404"/>
      <c r="O180" s="404"/>
      <c r="P180" s="404"/>
      <c r="Q180" s="404"/>
      <c r="R180" s="404"/>
      <c r="S180" s="404"/>
      <c r="T180" s="404"/>
      <c r="U180" s="404"/>
      <c r="V180" s="404"/>
      <c r="W180" s="404"/>
      <c r="X180" s="404"/>
      <c r="Y180" s="404"/>
      <c r="Z180" s="404"/>
      <c r="AA180" s="404"/>
      <c r="AB180" s="404"/>
      <c r="AC180" s="404"/>
      <c r="AD180" s="406"/>
      <c r="AE180" s="406"/>
    </row>
    <row r="181" spans="5:31" x14ac:dyDescent="0.35">
      <c r="E181" s="404"/>
      <c r="F181" s="404"/>
      <c r="G181" s="404"/>
      <c r="H181" s="404"/>
      <c r="I181" s="404"/>
      <c r="J181" s="404"/>
      <c r="K181" s="404"/>
      <c r="L181" s="404"/>
      <c r="M181" s="404"/>
      <c r="N181" s="404"/>
      <c r="O181" s="404"/>
      <c r="P181" s="404"/>
      <c r="Q181" s="404"/>
      <c r="R181" s="404"/>
      <c r="S181" s="404"/>
      <c r="T181" s="404"/>
      <c r="U181" s="404"/>
      <c r="V181" s="404"/>
      <c r="W181" s="404"/>
      <c r="X181" s="404"/>
      <c r="Y181" s="404"/>
      <c r="Z181" s="404"/>
      <c r="AA181" s="404"/>
      <c r="AB181" s="404"/>
      <c r="AC181" s="404"/>
      <c r="AD181" s="406"/>
      <c r="AE181" s="406"/>
    </row>
    <row r="182" spans="5:31" x14ac:dyDescent="0.35">
      <c r="E182" s="404"/>
      <c r="F182" s="404"/>
      <c r="G182" s="404"/>
      <c r="H182" s="404"/>
      <c r="I182" s="404"/>
      <c r="J182" s="404"/>
      <c r="K182" s="404"/>
      <c r="L182" s="404"/>
      <c r="M182" s="404"/>
      <c r="N182" s="404"/>
      <c r="O182" s="404"/>
      <c r="P182" s="404"/>
      <c r="Q182" s="404"/>
      <c r="R182" s="404"/>
      <c r="S182" s="404"/>
      <c r="T182" s="404"/>
      <c r="U182" s="404"/>
      <c r="V182" s="404"/>
      <c r="W182" s="404"/>
      <c r="X182" s="404"/>
      <c r="Y182" s="404"/>
      <c r="Z182" s="404"/>
      <c r="AA182" s="404"/>
      <c r="AB182" s="404"/>
      <c r="AC182" s="404"/>
      <c r="AD182" s="406"/>
      <c r="AE182" s="406"/>
    </row>
    <row r="183" spans="5:31" x14ac:dyDescent="0.35">
      <c r="E183" s="404"/>
      <c r="F183" s="404"/>
      <c r="G183" s="404"/>
      <c r="H183" s="404"/>
      <c r="I183" s="404"/>
      <c r="J183" s="404"/>
      <c r="K183" s="404"/>
      <c r="L183" s="404"/>
      <c r="M183" s="404"/>
      <c r="N183" s="404"/>
      <c r="O183" s="404"/>
      <c r="P183" s="404"/>
      <c r="Q183" s="404"/>
      <c r="R183" s="404"/>
      <c r="S183" s="404"/>
      <c r="T183" s="404"/>
      <c r="U183" s="404"/>
      <c r="V183" s="404"/>
      <c r="W183" s="404"/>
      <c r="X183" s="404"/>
      <c r="Y183" s="404"/>
      <c r="Z183" s="404"/>
      <c r="AA183" s="404"/>
      <c r="AB183" s="404"/>
      <c r="AC183" s="404"/>
      <c r="AD183" s="406"/>
      <c r="AE183" s="406"/>
    </row>
    <row r="184" spans="5:31" x14ac:dyDescent="0.35">
      <c r="E184" s="404"/>
      <c r="F184" s="404"/>
      <c r="G184" s="404"/>
      <c r="H184" s="404"/>
      <c r="I184" s="404"/>
      <c r="J184" s="404"/>
      <c r="K184" s="404"/>
      <c r="L184" s="404"/>
      <c r="M184" s="404"/>
      <c r="N184" s="404"/>
      <c r="O184" s="404"/>
      <c r="P184" s="404"/>
      <c r="Q184" s="404"/>
      <c r="R184" s="404"/>
      <c r="S184" s="404"/>
      <c r="T184" s="404"/>
      <c r="U184" s="404"/>
      <c r="V184" s="404"/>
      <c r="W184" s="404"/>
      <c r="X184" s="404"/>
      <c r="Y184" s="404"/>
      <c r="Z184" s="404"/>
      <c r="AA184" s="404"/>
      <c r="AB184" s="404"/>
      <c r="AC184" s="404"/>
      <c r="AD184" s="406"/>
      <c r="AE184" s="406"/>
    </row>
    <row r="185" spans="5:31" x14ac:dyDescent="0.35">
      <c r="E185" s="404"/>
      <c r="F185" s="404"/>
      <c r="G185" s="404"/>
      <c r="H185" s="404"/>
      <c r="I185" s="404"/>
      <c r="J185" s="404"/>
      <c r="K185" s="404"/>
      <c r="L185" s="404"/>
      <c r="M185" s="404"/>
      <c r="N185" s="404"/>
      <c r="O185" s="404"/>
      <c r="P185" s="404"/>
      <c r="Q185" s="404"/>
      <c r="R185" s="404"/>
      <c r="S185" s="404"/>
      <c r="T185" s="404"/>
      <c r="U185" s="404"/>
      <c r="V185" s="404"/>
      <c r="W185" s="404"/>
      <c r="X185" s="404"/>
      <c r="Y185" s="404"/>
      <c r="Z185" s="404"/>
      <c r="AA185" s="404"/>
      <c r="AB185" s="404"/>
      <c r="AC185" s="404"/>
      <c r="AD185" s="406"/>
      <c r="AE185" s="406"/>
    </row>
    <row r="186" spans="5:31" x14ac:dyDescent="0.35">
      <c r="E186" s="404"/>
      <c r="F186" s="404"/>
      <c r="G186" s="404"/>
      <c r="H186" s="404"/>
      <c r="I186" s="404"/>
      <c r="J186" s="404"/>
      <c r="K186" s="404"/>
      <c r="L186" s="404"/>
      <c r="M186" s="404"/>
      <c r="N186" s="404"/>
      <c r="O186" s="404"/>
      <c r="P186" s="404"/>
      <c r="Q186" s="404"/>
      <c r="R186" s="404"/>
      <c r="S186" s="404"/>
      <c r="T186" s="404"/>
      <c r="U186" s="404"/>
      <c r="V186" s="404"/>
      <c r="W186" s="404"/>
      <c r="X186" s="404"/>
      <c r="Y186" s="404"/>
      <c r="Z186" s="404"/>
      <c r="AA186" s="404"/>
      <c r="AB186" s="404"/>
      <c r="AC186" s="404"/>
      <c r="AD186" s="406"/>
      <c r="AE186" s="406"/>
    </row>
    <row r="187" spans="5:31" x14ac:dyDescent="0.35">
      <c r="E187" s="404"/>
      <c r="F187" s="404"/>
      <c r="G187" s="404"/>
      <c r="H187" s="404"/>
      <c r="I187" s="404"/>
      <c r="J187" s="404"/>
      <c r="K187" s="404"/>
      <c r="L187" s="404"/>
      <c r="M187" s="404"/>
      <c r="N187" s="404"/>
      <c r="O187" s="404"/>
      <c r="P187" s="404"/>
      <c r="Q187" s="404"/>
      <c r="R187" s="404"/>
      <c r="S187" s="404"/>
      <c r="T187" s="404"/>
      <c r="U187" s="404"/>
      <c r="V187" s="404"/>
      <c r="W187" s="404"/>
      <c r="X187" s="404"/>
      <c r="Y187" s="404"/>
      <c r="Z187" s="404"/>
      <c r="AA187" s="404"/>
      <c r="AB187" s="404"/>
      <c r="AC187" s="404"/>
      <c r="AD187" s="406"/>
      <c r="AE187" s="406"/>
    </row>
    <row r="188" spans="5:31" x14ac:dyDescent="0.35">
      <c r="E188" s="404"/>
      <c r="F188" s="404"/>
      <c r="G188" s="404"/>
      <c r="H188" s="404"/>
      <c r="I188" s="404"/>
      <c r="J188" s="404"/>
      <c r="K188" s="404"/>
      <c r="L188" s="404"/>
      <c r="M188" s="404"/>
      <c r="N188" s="404"/>
      <c r="O188" s="404"/>
      <c r="P188" s="404"/>
      <c r="Q188" s="404"/>
      <c r="R188" s="404"/>
      <c r="S188" s="404"/>
      <c r="T188" s="404"/>
      <c r="U188" s="404"/>
      <c r="V188" s="404"/>
      <c r="W188" s="404"/>
      <c r="X188" s="404"/>
      <c r="Y188" s="404"/>
      <c r="Z188" s="404"/>
      <c r="AA188" s="404"/>
      <c r="AB188" s="404"/>
      <c r="AC188" s="404"/>
      <c r="AD188" s="406"/>
      <c r="AE188" s="406"/>
    </row>
    <row r="189" spans="5:31" x14ac:dyDescent="0.35">
      <c r="E189" s="404"/>
      <c r="F189" s="404"/>
      <c r="G189" s="404"/>
      <c r="H189" s="404"/>
      <c r="I189" s="404"/>
      <c r="J189" s="404"/>
      <c r="K189" s="404"/>
      <c r="L189" s="404"/>
      <c r="M189" s="404"/>
      <c r="N189" s="404"/>
      <c r="O189" s="404"/>
      <c r="P189" s="404"/>
      <c r="Q189" s="404"/>
      <c r="R189" s="404"/>
      <c r="S189" s="404"/>
      <c r="T189" s="404"/>
      <c r="U189" s="404"/>
      <c r="V189" s="404"/>
      <c r="W189" s="404"/>
      <c r="X189" s="404"/>
      <c r="Y189" s="404"/>
      <c r="Z189" s="404"/>
      <c r="AA189" s="404"/>
      <c r="AB189" s="404"/>
      <c r="AC189" s="404"/>
      <c r="AD189" s="406"/>
      <c r="AE189" s="406"/>
    </row>
    <row r="190" spans="5:31" x14ac:dyDescent="0.35">
      <c r="E190" s="404"/>
      <c r="F190" s="404"/>
      <c r="G190" s="404"/>
      <c r="H190" s="404"/>
      <c r="I190" s="404"/>
      <c r="J190" s="404"/>
      <c r="K190" s="404"/>
      <c r="L190" s="404"/>
      <c r="M190" s="404"/>
      <c r="N190" s="404"/>
      <c r="O190" s="404"/>
      <c r="P190" s="404"/>
      <c r="Q190" s="404"/>
      <c r="R190" s="404"/>
      <c r="S190" s="404"/>
      <c r="T190" s="404"/>
      <c r="U190" s="404"/>
      <c r="V190" s="404"/>
      <c r="W190" s="404"/>
      <c r="X190" s="404"/>
      <c r="Y190" s="404"/>
      <c r="Z190" s="404"/>
      <c r="AA190" s="404"/>
      <c r="AB190" s="404"/>
      <c r="AC190" s="404"/>
      <c r="AD190" s="406"/>
      <c r="AE190" s="406"/>
    </row>
    <row r="191" spans="5:31" x14ac:dyDescent="0.35">
      <c r="E191" s="404"/>
      <c r="F191" s="404"/>
      <c r="G191" s="404"/>
      <c r="H191" s="404"/>
      <c r="I191" s="404"/>
      <c r="J191" s="404"/>
      <c r="K191" s="404"/>
      <c r="L191" s="404"/>
      <c r="M191" s="404"/>
      <c r="N191" s="404"/>
      <c r="O191" s="404"/>
      <c r="P191" s="404"/>
      <c r="Q191" s="404"/>
      <c r="R191" s="404"/>
      <c r="S191" s="404"/>
      <c r="T191" s="404"/>
      <c r="U191" s="404"/>
      <c r="V191" s="404"/>
      <c r="W191" s="404"/>
      <c r="X191" s="404"/>
      <c r="Y191" s="404"/>
      <c r="Z191" s="404"/>
      <c r="AA191" s="404"/>
      <c r="AB191" s="404"/>
      <c r="AC191" s="404"/>
      <c r="AD191" s="406"/>
      <c r="AE191" s="406"/>
    </row>
    <row r="192" spans="5:31" x14ac:dyDescent="0.35">
      <c r="E192" s="404"/>
      <c r="F192" s="404"/>
      <c r="G192" s="404"/>
      <c r="H192" s="404"/>
      <c r="I192" s="404"/>
      <c r="J192" s="404"/>
      <c r="K192" s="404"/>
      <c r="L192" s="404"/>
      <c r="M192" s="404"/>
      <c r="N192" s="404"/>
      <c r="O192" s="404"/>
      <c r="P192" s="404"/>
      <c r="Q192" s="404"/>
      <c r="R192" s="404"/>
      <c r="S192" s="404"/>
      <c r="T192" s="404"/>
      <c r="U192" s="404"/>
      <c r="V192" s="404"/>
      <c r="W192" s="404"/>
      <c r="X192" s="404"/>
      <c r="Y192" s="404"/>
      <c r="Z192" s="404"/>
      <c r="AA192" s="404"/>
      <c r="AB192" s="404"/>
      <c r="AC192" s="404"/>
      <c r="AD192" s="406"/>
      <c r="AE192" s="406"/>
    </row>
    <row r="193" spans="5:31" x14ac:dyDescent="0.35">
      <c r="E193" s="404"/>
      <c r="F193" s="404"/>
      <c r="G193" s="404"/>
      <c r="H193" s="404"/>
      <c r="I193" s="404"/>
      <c r="J193" s="404"/>
      <c r="K193" s="404"/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4"/>
      <c r="Y193" s="404"/>
      <c r="Z193" s="404"/>
      <c r="AA193" s="404"/>
      <c r="AB193" s="404"/>
      <c r="AC193" s="404"/>
      <c r="AD193" s="406"/>
      <c r="AE193" s="406"/>
    </row>
    <row r="194" spans="5:31" x14ac:dyDescent="0.35">
      <c r="E194" s="404"/>
      <c r="F194" s="404"/>
      <c r="G194" s="404"/>
      <c r="H194" s="404"/>
      <c r="I194" s="404"/>
      <c r="J194" s="404"/>
      <c r="K194" s="404"/>
      <c r="L194" s="404"/>
      <c r="M194" s="404"/>
      <c r="N194" s="404"/>
      <c r="O194" s="404"/>
      <c r="P194" s="404"/>
      <c r="Q194" s="404"/>
      <c r="R194" s="404"/>
      <c r="S194" s="404"/>
      <c r="T194" s="404"/>
      <c r="U194" s="404"/>
      <c r="V194" s="404"/>
      <c r="W194" s="404"/>
      <c r="X194" s="404"/>
      <c r="Y194" s="404"/>
      <c r="Z194" s="404"/>
      <c r="AA194" s="404"/>
      <c r="AB194" s="404"/>
      <c r="AC194" s="404"/>
      <c r="AD194" s="406"/>
      <c r="AE194" s="406"/>
    </row>
    <row r="195" spans="5:31" x14ac:dyDescent="0.35">
      <c r="E195" s="404"/>
      <c r="F195" s="404"/>
      <c r="G195" s="404"/>
      <c r="H195" s="404"/>
      <c r="I195" s="404"/>
      <c r="J195" s="404"/>
      <c r="K195" s="404"/>
      <c r="L195" s="404"/>
      <c r="M195" s="404"/>
      <c r="N195" s="404"/>
      <c r="O195" s="404"/>
      <c r="P195" s="404"/>
      <c r="Q195" s="404"/>
      <c r="R195" s="404"/>
      <c r="S195" s="404"/>
      <c r="T195" s="404"/>
      <c r="U195" s="404"/>
      <c r="V195" s="404"/>
      <c r="W195" s="404"/>
      <c r="X195" s="404"/>
      <c r="Y195" s="404"/>
      <c r="Z195" s="404"/>
      <c r="AA195" s="404"/>
      <c r="AB195" s="404"/>
      <c r="AC195" s="404"/>
      <c r="AD195" s="406"/>
      <c r="AE195" s="406"/>
    </row>
    <row r="196" spans="5:31" x14ac:dyDescent="0.35">
      <c r="E196" s="404"/>
      <c r="F196" s="404"/>
      <c r="G196" s="404"/>
      <c r="H196" s="404"/>
      <c r="I196" s="404"/>
      <c r="J196" s="404"/>
      <c r="K196" s="404"/>
      <c r="L196" s="404"/>
      <c r="M196" s="404"/>
      <c r="N196" s="404"/>
      <c r="O196" s="404"/>
      <c r="P196" s="404"/>
      <c r="Q196" s="404"/>
      <c r="R196" s="404"/>
      <c r="S196" s="404"/>
      <c r="T196" s="404"/>
      <c r="U196" s="404"/>
      <c r="V196" s="404"/>
      <c r="W196" s="404"/>
      <c r="X196" s="404"/>
      <c r="Y196" s="404"/>
      <c r="Z196" s="404"/>
      <c r="AA196" s="404"/>
      <c r="AB196" s="404"/>
      <c r="AC196" s="404"/>
      <c r="AD196" s="406"/>
      <c r="AE196" s="406"/>
    </row>
    <row r="197" spans="5:31" x14ac:dyDescent="0.35">
      <c r="E197" s="404"/>
      <c r="F197" s="404"/>
      <c r="G197" s="404"/>
      <c r="H197" s="404"/>
      <c r="I197" s="404"/>
      <c r="J197" s="404"/>
      <c r="K197" s="404"/>
      <c r="L197" s="404"/>
      <c r="M197" s="404"/>
      <c r="N197" s="404"/>
      <c r="O197" s="404"/>
      <c r="P197" s="404"/>
      <c r="Q197" s="404"/>
      <c r="R197" s="404"/>
      <c r="S197" s="404"/>
      <c r="T197" s="404"/>
      <c r="U197" s="404"/>
      <c r="V197" s="404"/>
      <c r="W197" s="404"/>
      <c r="X197" s="404"/>
      <c r="Y197" s="404"/>
      <c r="Z197" s="404"/>
      <c r="AA197" s="404"/>
      <c r="AB197" s="404"/>
      <c r="AC197" s="404"/>
      <c r="AD197" s="406"/>
      <c r="AE197" s="406"/>
    </row>
    <row r="198" spans="5:31" x14ac:dyDescent="0.35">
      <c r="E198" s="404"/>
      <c r="F198" s="404"/>
      <c r="G198" s="404"/>
      <c r="H198" s="404"/>
      <c r="I198" s="404"/>
      <c r="J198" s="404"/>
      <c r="K198" s="404"/>
      <c r="L198" s="404"/>
      <c r="M198" s="404"/>
      <c r="N198" s="404"/>
      <c r="O198" s="404"/>
      <c r="P198" s="404"/>
      <c r="Q198" s="404"/>
      <c r="R198" s="404"/>
      <c r="S198" s="404"/>
      <c r="T198" s="404"/>
      <c r="U198" s="404"/>
      <c r="V198" s="404"/>
      <c r="W198" s="404"/>
      <c r="X198" s="404"/>
      <c r="Y198" s="404"/>
      <c r="Z198" s="404"/>
      <c r="AA198" s="404"/>
      <c r="AB198" s="404"/>
      <c r="AC198" s="404"/>
      <c r="AD198" s="406"/>
      <c r="AE198" s="406"/>
    </row>
    <row r="199" spans="5:31" x14ac:dyDescent="0.35">
      <c r="E199" s="404"/>
      <c r="F199" s="404"/>
      <c r="G199" s="404"/>
      <c r="H199" s="404"/>
      <c r="I199" s="404"/>
      <c r="J199" s="404"/>
      <c r="K199" s="404"/>
      <c r="L199" s="404"/>
      <c r="M199" s="404"/>
      <c r="N199" s="404"/>
      <c r="O199" s="404"/>
      <c r="P199" s="404"/>
      <c r="Q199" s="404"/>
      <c r="R199" s="404"/>
      <c r="S199" s="404"/>
      <c r="T199" s="404"/>
      <c r="U199" s="404"/>
      <c r="V199" s="404"/>
      <c r="W199" s="404"/>
      <c r="X199" s="404"/>
      <c r="Y199" s="404"/>
      <c r="Z199" s="404"/>
      <c r="AA199" s="404"/>
      <c r="AB199" s="404"/>
      <c r="AC199" s="404"/>
      <c r="AD199" s="406"/>
      <c r="AE199" s="406"/>
    </row>
    <row r="200" spans="5:31" x14ac:dyDescent="0.35">
      <c r="E200" s="404"/>
      <c r="F200" s="404"/>
      <c r="G200" s="404"/>
      <c r="H200" s="404"/>
      <c r="I200" s="404"/>
      <c r="J200" s="404"/>
      <c r="K200" s="404"/>
      <c r="L200" s="404"/>
      <c r="M200" s="404"/>
      <c r="N200" s="404"/>
      <c r="O200" s="404"/>
      <c r="P200" s="404"/>
      <c r="Q200" s="404"/>
      <c r="R200" s="404"/>
      <c r="S200" s="404"/>
      <c r="T200" s="404"/>
      <c r="U200" s="404"/>
      <c r="V200" s="404"/>
      <c r="W200" s="404"/>
      <c r="X200" s="404"/>
      <c r="Y200" s="404"/>
      <c r="Z200" s="404"/>
      <c r="AA200" s="404"/>
      <c r="AB200" s="404"/>
      <c r="AC200" s="404"/>
      <c r="AD200" s="406"/>
      <c r="AE200" s="406"/>
    </row>
    <row r="201" spans="5:31" x14ac:dyDescent="0.35">
      <c r="E201" s="404"/>
      <c r="F201" s="404"/>
      <c r="G201" s="404"/>
      <c r="H201" s="404"/>
      <c r="I201" s="404"/>
      <c r="J201" s="404"/>
      <c r="K201" s="404"/>
      <c r="L201" s="404"/>
      <c r="M201" s="404"/>
      <c r="N201" s="404"/>
      <c r="O201" s="404"/>
      <c r="P201" s="404"/>
      <c r="Q201" s="404"/>
      <c r="R201" s="404"/>
      <c r="S201" s="404"/>
      <c r="T201" s="404"/>
      <c r="U201" s="404"/>
      <c r="V201" s="404"/>
      <c r="W201" s="404"/>
      <c r="X201" s="404"/>
      <c r="Y201" s="404"/>
      <c r="Z201" s="404"/>
      <c r="AA201" s="404"/>
      <c r="AB201" s="404"/>
      <c r="AC201" s="404"/>
      <c r="AD201" s="406"/>
      <c r="AE201" s="406"/>
    </row>
    <row r="202" spans="5:31" x14ac:dyDescent="0.35">
      <c r="E202" s="404"/>
      <c r="F202" s="404"/>
      <c r="G202" s="404"/>
      <c r="H202" s="404"/>
      <c r="I202" s="404"/>
      <c r="J202" s="404"/>
      <c r="K202" s="404"/>
      <c r="L202" s="404"/>
      <c r="M202" s="404"/>
      <c r="N202" s="404"/>
      <c r="O202" s="404"/>
      <c r="P202" s="404"/>
      <c r="Q202" s="404"/>
      <c r="R202" s="404"/>
      <c r="S202" s="404"/>
      <c r="T202" s="404"/>
      <c r="U202" s="404"/>
      <c r="V202" s="404"/>
      <c r="W202" s="404"/>
      <c r="X202" s="404"/>
      <c r="Y202" s="404"/>
      <c r="Z202" s="404"/>
      <c r="AA202" s="404"/>
      <c r="AB202" s="404"/>
      <c r="AC202" s="404"/>
      <c r="AD202" s="406"/>
      <c r="AE202" s="406"/>
    </row>
    <row r="203" spans="5:31" x14ac:dyDescent="0.35">
      <c r="E203" s="404"/>
      <c r="F203" s="404"/>
      <c r="G203" s="404"/>
      <c r="H203" s="404"/>
      <c r="I203" s="404"/>
      <c r="J203" s="404"/>
      <c r="K203" s="404"/>
      <c r="L203" s="404"/>
      <c r="M203" s="404"/>
      <c r="N203" s="404"/>
      <c r="O203" s="404"/>
      <c r="P203" s="404"/>
      <c r="Q203" s="404"/>
      <c r="R203" s="404"/>
      <c r="S203" s="404"/>
      <c r="T203" s="404"/>
      <c r="U203" s="404"/>
      <c r="V203" s="404"/>
      <c r="W203" s="404"/>
      <c r="X203" s="404"/>
      <c r="Y203" s="404"/>
      <c r="Z203" s="404"/>
      <c r="AA203" s="404"/>
      <c r="AB203" s="404"/>
      <c r="AC203" s="404"/>
      <c r="AD203" s="406"/>
      <c r="AE203" s="406"/>
    </row>
    <row r="204" spans="5:31" x14ac:dyDescent="0.35">
      <c r="E204" s="404"/>
      <c r="F204" s="404"/>
      <c r="G204" s="404"/>
      <c r="H204" s="404"/>
      <c r="I204" s="404"/>
      <c r="J204" s="404"/>
      <c r="K204" s="404"/>
      <c r="L204" s="404"/>
      <c r="M204" s="404"/>
      <c r="N204" s="404"/>
      <c r="O204" s="404"/>
      <c r="P204" s="404"/>
      <c r="Q204" s="404"/>
      <c r="R204" s="404"/>
      <c r="S204" s="404"/>
      <c r="T204" s="404"/>
      <c r="U204" s="404"/>
      <c r="V204" s="404"/>
      <c r="W204" s="404"/>
      <c r="X204" s="404"/>
      <c r="Y204" s="404"/>
      <c r="Z204" s="404"/>
      <c r="AA204" s="404"/>
      <c r="AB204" s="404"/>
      <c r="AC204" s="404"/>
      <c r="AD204" s="406"/>
      <c r="AE204" s="406"/>
    </row>
    <row r="205" spans="5:31" x14ac:dyDescent="0.35">
      <c r="E205" s="404"/>
      <c r="F205" s="404"/>
      <c r="G205" s="404"/>
      <c r="H205" s="404"/>
      <c r="I205" s="404"/>
      <c r="J205" s="404"/>
      <c r="K205" s="404"/>
      <c r="L205" s="404"/>
      <c r="M205" s="404"/>
      <c r="N205" s="404"/>
      <c r="O205" s="404"/>
      <c r="P205" s="404"/>
      <c r="Q205" s="404"/>
      <c r="R205" s="404"/>
      <c r="S205" s="404"/>
      <c r="T205" s="404"/>
      <c r="U205" s="404"/>
      <c r="V205" s="404"/>
      <c r="W205" s="404"/>
      <c r="X205" s="404"/>
      <c r="Y205" s="404"/>
      <c r="Z205" s="404"/>
      <c r="AA205" s="404"/>
      <c r="AB205" s="404"/>
      <c r="AC205" s="404"/>
      <c r="AD205" s="406"/>
      <c r="AE205" s="406"/>
    </row>
    <row r="206" spans="5:31" x14ac:dyDescent="0.35">
      <c r="E206" s="404"/>
      <c r="F206" s="404"/>
      <c r="G206" s="404"/>
      <c r="H206" s="404"/>
      <c r="I206" s="404"/>
      <c r="J206" s="404"/>
      <c r="K206" s="404"/>
      <c r="L206" s="404"/>
      <c r="M206" s="404"/>
      <c r="N206" s="404"/>
      <c r="O206" s="404"/>
      <c r="P206" s="404"/>
      <c r="Q206" s="404"/>
      <c r="R206" s="404"/>
      <c r="S206" s="404"/>
      <c r="T206" s="404"/>
      <c r="U206" s="404"/>
      <c r="V206" s="404"/>
      <c r="W206" s="404"/>
      <c r="X206" s="404"/>
      <c r="Y206" s="404"/>
      <c r="Z206" s="404"/>
      <c r="AA206" s="404"/>
      <c r="AB206" s="404"/>
      <c r="AC206" s="404"/>
      <c r="AD206" s="406"/>
      <c r="AE206" s="406"/>
    </row>
    <row r="207" spans="5:31" x14ac:dyDescent="0.35">
      <c r="E207" s="404"/>
      <c r="F207" s="404"/>
      <c r="G207" s="404"/>
      <c r="H207" s="404"/>
      <c r="I207" s="404"/>
      <c r="J207" s="404"/>
      <c r="K207" s="404"/>
      <c r="L207" s="404"/>
      <c r="M207" s="404"/>
      <c r="N207" s="404"/>
      <c r="O207" s="404"/>
      <c r="P207" s="404"/>
      <c r="Q207" s="404"/>
      <c r="R207" s="404"/>
      <c r="S207" s="404"/>
      <c r="T207" s="404"/>
      <c r="U207" s="404"/>
      <c r="V207" s="404"/>
      <c r="W207" s="404"/>
      <c r="X207" s="404"/>
      <c r="Y207" s="404"/>
      <c r="Z207" s="404"/>
      <c r="AA207" s="404"/>
      <c r="AB207" s="404"/>
      <c r="AC207" s="404"/>
      <c r="AD207" s="406"/>
      <c r="AE207" s="406"/>
    </row>
    <row r="208" spans="5:31" x14ac:dyDescent="0.35">
      <c r="E208" s="404"/>
      <c r="F208" s="404"/>
      <c r="G208" s="404"/>
      <c r="H208" s="404"/>
      <c r="I208" s="404"/>
      <c r="J208" s="404"/>
      <c r="K208" s="404"/>
      <c r="L208" s="404"/>
      <c r="M208" s="404"/>
      <c r="N208" s="404"/>
      <c r="O208" s="404"/>
      <c r="P208" s="404"/>
      <c r="Q208" s="404"/>
      <c r="R208" s="404"/>
      <c r="S208" s="404"/>
      <c r="T208" s="404"/>
      <c r="U208" s="404"/>
      <c r="V208" s="404"/>
      <c r="W208" s="404"/>
      <c r="X208" s="404"/>
      <c r="Y208" s="404"/>
      <c r="Z208" s="404"/>
      <c r="AA208" s="404"/>
      <c r="AB208" s="404"/>
      <c r="AC208" s="404"/>
      <c r="AD208" s="406"/>
      <c r="AE208" s="406"/>
    </row>
    <row r="209" spans="5:31" x14ac:dyDescent="0.35">
      <c r="E209" s="404"/>
      <c r="F209" s="404"/>
      <c r="G209" s="404"/>
      <c r="H209" s="404"/>
      <c r="I209" s="404"/>
      <c r="J209" s="404"/>
      <c r="K209" s="404"/>
      <c r="L209" s="404"/>
      <c r="M209" s="404"/>
      <c r="N209" s="404"/>
      <c r="O209" s="404"/>
      <c r="P209" s="404"/>
      <c r="Q209" s="404"/>
      <c r="R209" s="404"/>
      <c r="S209" s="404"/>
      <c r="T209" s="404"/>
      <c r="U209" s="404"/>
      <c r="V209" s="404"/>
      <c r="W209" s="404"/>
      <c r="X209" s="404"/>
      <c r="Y209" s="404"/>
      <c r="Z209" s="404"/>
      <c r="AA209" s="404"/>
      <c r="AB209" s="404"/>
      <c r="AC209" s="404"/>
      <c r="AD209" s="406"/>
      <c r="AE209" s="406"/>
    </row>
    <row r="210" spans="5:31" x14ac:dyDescent="0.35">
      <c r="E210" s="404"/>
      <c r="F210" s="404"/>
      <c r="G210" s="404"/>
      <c r="H210" s="404"/>
      <c r="I210" s="404"/>
      <c r="J210" s="404"/>
      <c r="K210" s="404"/>
      <c r="L210" s="404"/>
      <c r="M210" s="404"/>
      <c r="N210" s="404"/>
      <c r="O210" s="404"/>
      <c r="P210" s="404"/>
      <c r="Q210" s="404"/>
      <c r="R210" s="404"/>
      <c r="S210" s="404"/>
      <c r="T210" s="404"/>
      <c r="U210" s="404"/>
      <c r="V210" s="404"/>
      <c r="W210" s="404"/>
      <c r="X210" s="404"/>
      <c r="Y210" s="404"/>
      <c r="Z210" s="404"/>
      <c r="AA210" s="404"/>
      <c r="AB210" s="404"/>
      <c r="AC210" s="404"/>
      <c r="AD210" s="406"/>
      <c r="AE210" s="406"/>
    </row>
    <row r="211" spans="5:31" x14ac:dyDescent="0.35">
      <c r="E211" s="404"/>
      <c r="F211" s="404"/>
      <c r="G211" s="404"/>
      <c r="H211" s="404"/>
      <c r="I211" s="404"/>
      <c r="J211" s="404"/>
      <c r="K211" s="404"/>
      <c r="L211" s="404"/>
      <c r="M211" s="404"/>
      <c r="N211" s="404"/>
      <c r="O211" s="404"/>
      <c r="P211" s="404"/>
      <c r="Q211" s="404"/>
      <c r="R211" s="404"/>
      <c r="S211" s="404"/>
      <c r="T211" s="404"/>
      <c r="U211" s="404"/>
      <c r="V211" s="404"/>
      <c r="W211" s="404"/>
      <c r="X211" s="404"/>
      <c r="Y211" s="404"/>
      <c r="Z211" s="404"/>
      <c r="AA211" s="404"/>
      <c r="AB211" s="404"/>
      <c r="AC211" s="404"/>
      <c r="AD211" s="406"/>
      <c r="AE211" s="406"/>
    </row>
    <row r="212" spans="5:31" x14ac:dyDescent="0.35">
      <c r="E212" s="404"/>
      <c r="F212" s="404"/>
      <c r="G212" s="404"/>
      <c r="H212" s="404"/>
      <c r="I212" s="404"/>
      <c r="J212" s="404"/>
      <c r="K212" s="404"/>
      <c r="L212" s="404"/>
      <c r="M212" s="404"/>
      <c r="N212" s="404"/>
      <c r="O212" s="404"/>
      <c r="P212" s="404"/>
      <c r="Q212" s="404"/>
      <c r="R212" s="404"/>
      <c r="S212" s="404"/>
      <c r="T212" s="404"/>
      <c r="U212" s="404"/>
      <c r="V212" s="404"/>
      <c r="W212" s="404"/>
      <c r="X212" s="404"/>
      <c r="Y212" s="404"/>
      <c r="Z212" s="404"/>
      <c r="AA212" s="404"/>
      <c r="AB212" s="404"/>
      <c r="AC212" s="404"/>
      <c r="AD212" s="406"/>
      <c r="AE212" s="406"/>
    </row>
    <row r="213" spans="5:31" x14ac:dyDescent="0.35">
      <c r="E213" s="404"/>
      <c r="F213" s="404"/>
      <c r="G213" s="404"/>
      <c r="H213" s="404"/>
      <c r="I213" s="404"/>
      <c r="J213" s="404"/>
      <c r="K213" s="404"/>
      <c r="L213" s="404"/>
      <c r="M213" s="404"/>
      <c r="N213" s="404"/>
      <c r="O213" s="404"/>
      <c r="P213" s="404"/>
      <c r="Q213" s="404"/>
      <c r="R213" s="404"/>
      <c r="S213" s="404"/>
      <c r="T213" s="404"/>
      <c r="U213" s="404"/>
      <c r="V213" s="404"/>
      <c r="W213" s="404"/>
      <c r="X213" s="404"/>
      <c r="Y213" s="404"/>
      <c r="Z213" s="404"/>
      <c r="AA213" s="404"/>
      <c r="AB213" s="404"/>
      <c r="AC213" s="404"/>
      <c r="AD213" s="406"/>
      <c r="AE213" s="406"/>
    </row>
    <row r="214" spans="5:31" x14ac:dyDescent="0.35">
      <c r="E214" s="404"/>
      <c r="F214" s="404"/>
      <c r="G214" s="404"/>
      <c r="H214" s="404"/>
      <c r="I214" s="404"/>
      <c r="J214" s="404"/>
      <c r="K214" s="404"/>
      <c r="L214" s="404"/>
      <c r="M214" s="404"/>
      <c r="N214" s="404"/>
      <c r="O214" s="404"/>
      <c r="P214" s="404"/>
      <c r="Q214" s="404"/>
      <c r="R214" s="404"/>
      <c r="S214" s="404"/>
      <c r="T214" s="404"/>
      <c r="U214" s="404"/>
      <c r="V214" s="404"/>
      <c r="W214" s="404"/>
      <c r="X214" s="404"/>
      <c r="Y214" s="404"/>
      <c r="Z214" s="404"/>
      <c r="AA214" s="404"/>
      <c r="AB214" s="404"/>
      <c r="AC214" s="404"/>
      <c r="AD214" s="406"/>
      <c r="AE214" s="406"/>
    </row>
    <row r="215" spans="5:31" x14ac:dyDescent="0.35">
      <c r="E215" s="404"/>
      <c r="F215" s="404"/>
      <c r="G215" s="404"/>
      <c r="H215" s="404"/>
      <c r="I215" s="404"/>
      <c r="J215" s="404"/>
      <c r="K215" s="404"/>
      <c r="L215" s="404"/>
      <c r="M215" s="404"/>
      <c r="N215" s="404"/>
      <c r="O215" s="404"/>
      <c r="P215" s="404"/>
      <c r="Q215" s="404"/>
      <c r="R215" s="404"/>
      <c r="S215" s="404"/>
      <c r="T215" s="404"/>
      <c r="U215" s="404"/>
      <c r="V215" s="404"/>
      <c r="W215" s="404"/>
      <c r="X215" s="404"/>
      <c r="Y215" s="404"/>
      <c r="Z215" s="404"/>
      <c r="AA215" s="404"/>
      <c r="AB215" s="404"/>
      <c r="AC215" s="404"/>
      <c r="AD215" s="406"/>
      <c r="AE215" s="406"/>
    </row>
    <row r="216" spans="5:31" x14ac:dyDescent="0.35">
      <c r="E216" s="404"/>
      <c r="F216" s="404"/>
      <c r="G216" s="404"/>
      <c r="H216" s="404"/>
      <c r="I216" s="404"/>
      <c r="J216" s="404"/>
      <c r="K216" s="404"/>
      <c r="L216" s="404"/>
      <c r="M216" s="404"/>
      <c r="N216" s="404"/>
      <c r="O216" s="404"/>
      <c r="P216" s="404"/>
      <c r="Q216" s="404"/>
      <c r="R216" s="404"/>
      <c r="S216" s="404"/>
      <c r="T216" s="404"/>
      <c r="U216" s="404"/>
      <c r="V216" s="404"/>
      <c r="W216" s="404"/>
      <c r="X216" s="404"/>
      <c r="Y216" s="404"/>
      <c r="Z216" s="404"/>
      <c r="AA216" s="404"/>
      <c r="AB216" s="404"/>
      <c r="AC216" s="404"/>
      <c r="AD216" s="406"/>
      <c r="AE216" s="406"/>
    </row>
    <row r="217" spans="5:31" x14ac:dyDescent="0.35">
      <c r="E217" s="404"/>
      <c r="F217" s="404"/>
      <c r="G217" s="404"/>
      <c r="H217" s="404"/>
      <c r="I217" s="404"/>
      <c r="J217" s="404"/>
      <c r="K217" s="404"/>
      <c r="L217" s="404"/>
      <c r="M217" s="404"/>
      <c r="N217" s="404"/>
      <c r="O217" s="404"/>
      <c r="P217" s="404"/>
      <c r="Q217" s="404"/>
      <c r="R217" s="404"/>
      <c r="S217" s="404"/>
      <c r="T217" s="404"/>
      <c r="U217" s="404"/>
      <c r="V217" s="404"/>
      <c r="W217" s="404"/>
      <c r="X217" s="404"/>
      <c r="Y217" s="404"/>
      <c r="Z217" s="404"/>
      <c r="AA217" s="404"/>
      <c r="AB217" s="404"/>
      <c r="AC217" s="404"/>
      <c r="AD217" s="406"/>
      <c r="AE217" s="406"/>
    </row>
    <row r="218" spans="5:31" x14ac:dyDescent="0.35">
      <c r="E218" s="404"/>
      <c r="F218" s="404"/>
      <c r="G218" s="404"/>
      <c r="H218" s="404"/>
      <c r="I218" s="404"/>
      <c r="J218" s="404"/>
      <c r="K218" s="404"/>
      <c r="L218" s="404"/>
      <c r="M218" s="404"/>
      <c r="N218" s="404"/>
      <c r="O218" s="404"/>
      <c r="P218" s="404"/>
      <c r="Q218" s="404"/>
      <c r="R218" s="404"/>
      <c r="S218" s="404"/>
      <c r="T218" s="404"/>
      <c r="U218" s="404"/>
      <c r="V218" s="404"/>
      <c r="W218" s="404"/>
      <c r="X218" s="404"/>
      <c r="Y218" s="404"/>
      <c r="Z218" s="404"/>
      <c r="AA218" s="404"/>
      <c r="AB218" s="404"/>
      <c r="AC218" s="404"/>
      <c r="AD218" s="406"/>
      <c r="AE218" s="406"/>
    </row>
    <row r="219" spans="5:31" x14ac:dyDescent="0.35">
      <c r="E219" s="404"/>
      <c r="F219" s="404"/>
      <c r="G219" s="404"/>
      <c r="H219" s="404"/>
      <c r="I219" s="404"/>
      <c r="J219" s="404"/>
      <c r="K219" s="404"/>
      <c r="L219" s="404"/>
      <c r="M219" s="404"/>
      <c r="N219" s="404"/>
      <c r="O219" s="404"/>
      <c r="P219" s="404"/>
      <c r="Q219" s="404"/>
      <c r="R219" s="404"/>
      <c r="S219" s="404"/>
      <c r="T219" s="404"/>
      <c r="U219" s="404"/>
      <c r="V219" s="404"/>
      <c r="W219" s="404"/>
      <c r="X219" s="404"/>
      <c r="Y219" s="404"/>
      <c r="Z219" s="404"/>
      <c r="AA219" s="404"/>
      <c r="AB219" s="404"/>
      <c r="AC219" s="404"/>
      <c r="AD219" s="406"/>
      <c r="AE219" s="406"/>
    </row>
    <row r="220" spans="5:31" x14ac:dyDescent="0.35">
      <c r="E220" s="404"/>
      <c r="F220" s="404"/>
      <c r="G220" s="404"/>
      <c r="H220" s="404"/>
      <c r="I220" s="404"/>
      <c r="J220" s="404"/>
      <c r="K220" s="404"/>
      <c r="L220" s="404"/>
      <c r="M220" s="404"/>
      <c r="N220" s="404"/>
      <c r="O220" s="404"/>
      <c r="P220" s="404"/>
      <c r="Q220" s="404"/>
      <c r="R220" s="404"/>
      <c r="S220" s="404"/>
      <c r="T220" s="404"/>
      <c r="U220" s="404"/>
      <c r="V220" s="404"/>
      <c r="W220" s="404"/>
      <c r="X220" s="404"/>
      <c r="Y220" s="404"/>
      <c r="Z220" s="404"/>
      <c r="AA220" s="404"/>
      <c r="AB220" s="404"/>
      <c r="AC220" s="404"/>
      <c r="AD220" s="406"/>
      <c r="AE220" s="406"/>
    </row>
    <row r="221" spans="5:31" x14ac:dyDescent="0.35">
      <c r="E221" s="404"/>
      <c r="F221" s="404"/>
      <c r="G221" s="404"/>
      <c r="H221" s="404"/>
      <c r="I221" s="404"/>
      <c r="J221" s="404"/>
      <c r="K221" s="404"/>
      <c r="L221" s="404"/>
      <c r="M221" s="404"/>
      <c r="N221" s="404"/>
      <c r="O221" s="404"/>
      <c r="P221" s="404"/>
      <c r="Q221" s="404"/>
      <c r="R221" s="404"/>
      <c r="S221" s="404"/>
      <c r="T221" s="404"/>
      <c r="U221" s="404"/>
      <c r="V221" s="404"/>
      <c r="W221" s="404"/>
      <c r="X221" s="404"/>
      <c r="Y221" s="404"/>
      <c r="Z221" s="404"/>
      <c r="AA221" s="404"/>
      <c r="AB221" s="404"/>
      <c r="AC221" s="404"/>
      <c r="AD221" s="406"/>
      <c r="AE221" s="406"/>
    </row>
    <row r="222" spans="5:31" x14ac:dyDescent="0.35">
      <c r="E222" s="404"/>
      <c r="F222" s="404"/>
      <c r="G222" s="404"/>
      <c r="H222" s="404"/>
      <c r="I222" s="404"/>
      <c r="J222" s="404"/>
      <c r="K222" s="404"/>
      <c r="L222" s="404"/>
      <c r="M222" s="404"/>
      <c r="N222" s="404"/>
      <c r="O222" s="404"/>
      <c r="P222" s="404"/>
      <c r="Q222" s="404"/>
      <c r="R222" s="404"/>
      <c r="S222" s="404"/>
      <c r="T222" s="404"/>
      <c r="U222" s="404"/>
      <c r="V222" s="404"/>
      <c r="W222" s="404"/>
      <c r="X222" s="404"/>
      <c r="Y222" s="404"/>
      <c r="Z222" s="404"/>
      <c r="AA222" s="404"/>
      <c r="AB222" s="404"/>
      <c r="AC222" s="404"/>
      <c r="AD222" s="406"/>
      <c r="AE222" s="406"/>
    </row>
    <row r="223" spans="5:31" x14ac:dyDescent="0.35">
      <c r="E223" s="404"/>
      <c r="F223" s="404"/>
      <c r="G223" s="404"/>
      <c r="H223" s="404"/>
      <c r="I223" s="404"/>
      <c r="J223" s="404"/>
      <c r="K223" s="404"/>
      <c r="L223" s="404"/>
      <c r="M223" s="404"/>
      <c r="N223" s="404"/>
      <c r="O223" s="404"/>
      <c r="P223" s="404"/>
      <c r="Q223" s="404"/>
      <c r="R223" s="404"/>
      <c r="S223" s="404"/>
      <c r="T223" s="404"/>
      <c r="U223" s="404"/>
      <c r="V223" s="404"/>
      <c r="W223" s="404"/>
      <c r="X223" s="404"/>
      <c r="Y223" s="404"/>
      <c r="Z223" s="404"/>
      <c r="AA223" s="404"/>
      <c r="AB223" s="404"/>
      <c r="AC223" s="404"/>
      <c r="AD223" s="406"/>
      <c r="AE223" s="406"/>
    </row>
    <row r="224" spans="5:31" x14ac:dyDescent="0.35">
      <c r="E224" s="404"/>
      <c r="F224" s="404"/>
      <c r="G224" s="404"/>
      <c r="H224" s="404"/>
      <c r="I224" s="404"/>
      <c r="J224" s="404"/>
      <c r="K224" s="404"/>
      <c r="L224" s="404"/>
      <c r="M224" s="404"/>
      <c r="N224" s="404"/>
      <c r="O224" s="404"/>
      <c r="P224" s="404"/>
      <c r="Q224" s="404"/>
      <c r="R224" s="404"/>
      <c r="S224" s="404"/>
      <c r="T224" s="404"/>
      <c r="U224" s="404"/>
      <c r="V224" s="404"/>
      <c r="W224" s="404"/>
      <c r="X224" s="404"/>
      <c r="Y224" s="404"/>
      <c r="Z224" s="404"/>
      <c r="AA224" s="404"/>
      <c r="AB224" s="404"/>
      <c r="AC224" s="404"/>
      <c r="AD224" s="406"/>
      <c r="AE224" s="406"/>
    </row>
    <row r="225" spans="5:31" x14ac:dyDescent="0.35">
      <c r="E225" s="404"/>
      <c r="F225" s="404"/>
      <c r="G225" s="404"/>
      <c r="H225" s="404"/>
      <c r="I225" s="404"/>
      <c r="J225" s="404"/>
      <c r="K225" s="404"/>
      <c r="L225" s="404"/>
      <c r="M225" s="404"/>
      <c r="N225" s="404"/>
      <c r="O225" s="404"/>
      <c r="P225" s="404"/>
      <c r="Q225" s="404"/>
      <c r="R225" s="404"/>
      <c r="S225" s="404"/>
      <c r="T225" s="404"/>
      <c r="U225" s="404"/>
      <c r="V225" s="404"/>
      <c r="W225" s="404"/>
      <c r="X225" s="404"/>
      <c r="Y225" s="404"/>
      <c r="Z225" s="404"/>
      <c r="AA225" s="404"/>
      <c r="AB225" s="404"/>
      <c r="AC225" s="404"/>
      <c r="AD225" s="406"/>
      <c r="AE225" s="406"/>
    </row>
    <row r="226" spans="5:31" x14ac:dyDescent="0.35">
      <c r="E226" s="404"/>
      <c r="F226" s="404"/>
      <c r="G226" s="404"/>
      <c r="H226" s="404"/>
      <c r="I226" s="404"/>
      <c r="J226" s="404"/>
      <c r="K226" s="404"/>
      <c r="L226" s="404"/>
      <c r="M226" s="404"/>
      <c r="N226" s="404"/>
      <c r="O226" s="404"/>
      <c r="P226" s="404"/>
      <c r="Q226" s="404"/>
      <c r="R226" s="404"/>
      <c r="S226" s="404"/>
      <c r="T226" s="404"/>
      <c r="U226" s="404"/>
      <c r="V226" s="404"/>
      <c r="W226" s="404"/>
      <c r="X226" s="404"/>
      <c r="Y226" s="404"/>
      <c r="Z226" s="404"/>
      <c r="AA226" s="404"/>
      <c r="AB226" s="404"/>
      <c r="AC226" s="404"/>
      <c r="AD226" s="406"/>
      <c r="AE226" s="406"/>
    </row>
    <row r="227" spans="5:31" x14ac:dyDescent="0.35">
      <c r="E227" s="404"/>
      <c r="F227" s="404"/>
      <c r="G227" s="404"/>
      <c r="H227" s="404"/>
      <c r="I227" s="404"/>
      <c r="J227" s="404"/>
      <c r="K227" s="404"/>
      <c r="L227" s="404"/>
      <c r="M227" s="404"/>
      <c r="N227" s="404"/>
      <c r="O227" s="404"/>
      <c r="P227" s="404"/>
      <c r="Q227" s="404"/>
      <c r="R227" s="404"/>
      <c r="S227" s="404"/>
      <c r="T227" s="404"/>
      <c r="U227" s="404"/>
      <c r="V227" s="404"/>
      <c r="W227" s="404"/>
      <c r="X227" s="404"/>
      <c r="Y227" s="404"/>
      <c r="Z227" s="404"/>
      <c r="AA227" s="404"/>
      <c r="AB227" s="404"/>
      <c r="AC227" s="404"/>
      <c r="AD227" s="406"/>
      <c r="AE227" s="406"/>
    </row>
    <row r="228" spans="5:31" x14ac:dyDescent="0.35">
      <c r="E228" s="404"/>
      <c r="F228" s="404"/>
      <c r="G228" s="404"/>
      <c r="H228" s="404"/>
      <c r="I228" s="404"/>
      <c r="J228" s="404"/>
      <c r="K228" s="404"/>
      <c r="L228" s="404"/>
      <c r="M228" s="404"/>
      <c r="N228" s="404"/>
      <c r="O228" s="404"/>
      <c r="P228" s="404"/>
      <c r="Q228" s="404"/>
      <c r="R228" s="404"/>
      <c r="S228" s="404"/>
      <c r="T228" s="404"/>
      <c r="U228" s="404"/>
      <c r="V228" s="404"/>
      <c r="W228" s="404"/>
      <c r="X228" s="404"/>
      <c r="Y228" s="404"/>
      <c r="Z228" s="404"/>
      <c r="AA228" s="404"/>
      <c r="AB228" s="404"/>
      <c r="AC228" s="404"/>
      <c r="AD228" s="406"/>
      <c r="AE228" s="406"/>
    </row>
    <row r="229" spans="5:31" x14ac:dyDescent="0.35">
      <c r="E229" s="404"/>
      <c r="F229" s="404"/>
      <c r="G229" s="404"/>
      <c r="H229" s="404"/>
      <c r="I229" s="404"/>
      <c r="J229" s="404"/>
      <c r="K229" s="404"/>
      <c r="L229" s="404"/>
      <c r="M229" s="404"/>
      <c r="N229" s="404"/>
      <c r="O229" s="404"/>
      <c r="P229" s="404"/>
      <c r="Q229" s="404"/>
      <c r="R229" s="404"/>
      <c r="S229" s="404"/>
      <c r="T229" s="404"/>
      <c r="U229" s="404"/>
      <c r="V229" s="404"/>
      <c r="W229" s="404"/>
      <c r="X229" s="404"/>
      <c r="Y229" s="404"/>
      <c r="Z229" s="404"/>
      <c r="AA229" s="404"/>
      <c r="AB229" s="404"/>
      <c r="AC229" s="404"/>
      <c r="AD229" s="406"/>
      <c r="AE229" s="406"/>
    </row>
    <row r="230" spans="5:31" x14ac:dyDescent="0.35">
      <c r="E230" s="404"/>
      <c r="F230" s="404"/>
      <c r="G230" s="404"/>
      <c r="H230" s="404"/>
      <c r="I230" s="404"/>
      <c r="J230" s="404"/>
      <c r="K230" s="404"/>
      <c r="L230" s="404"/>
      <c r="M230" s="404"/>
      <c r="N230" s="404"/>
      <c r="O230" s="404"/>
      <c r="P230" s="404"/>
      <c r="Q230" s="404"/>
      <c r="R230" s="404"/>
      <c r="S230" s="404"/>
      <c r="T230" s="404"/>
      <c r="U230" s="404"/>
      <c r="V230" s="404"/>
      <c r="W230" s="404"/>
      <c r="X230" s="404"/>
      <c r="Y230" s="404"/>
      <c r="Z230" s="404"/>
      <c r="AA230" s="404"/>
      <c r="AB230" s="404"/>
      <c r="AC230" s="404"/>
      <c r="AD230" s="406"/>
      <c r="AE230" s="406"/>
    </row>
    <row r="231" spans="5:31" x14ac:dyDescent="0.35">
      <c r="E231" s="404"/>
      <c r="F231" s="404"/>
      <c r="G231" s="404"/>
      <c r="H231" s="404"/>
      <c r="I231" s="404"/>
      <c r="J231" s="404"/>
      <c r="K231" s="404"/>
      <c r="L231" s="404"/>
      <c r="M231" s="404"/>
      <c r="N231" s="404"/>
      <c r="O231" s="404"/>
      <c r="P231" s="404"/>
      <c r="Q231" s="404"/>
      <c r="R231" s="404"/>
      <c r="S231" s="404"/>
      <c r="T231" s="404"/>
      <c r="U231" s="404"/>
      <c r="V231" s="404"/>
      <c r="W231" s="404"/>
      <c r="X231" s="404"/>
      <c r="Y231" s="404"/>
      <c r="Z231" s="404"/>
      <c r="AA231" s="404"/>
      <c r="AB231" s="404"/>
      <c r="AC231" s="404"/>
      <c r="AD231" s="406"/>
      <c r="AE231" s="406"/>
    </row>
    <row r="232" spans="5:31" x14ac:dyDescent="0.35">
      <c r="E232" s="404"/>
      <c r="F232" s="404"/>
      <c r="G232" s="404"/>
      <c r="H232" s="404"/>
      <c r="I232" s="404"/>
      <c r="J232" s="404"/>
      <c r="K232" s="404"/>
      <c r="L232" s="404"/>
      <c r="M232" s="404"/>
      <c r="N232" s="404"/>
      <c r="O232" s="404"/>
      <c r="P232" s="404"/>
      <c r="Q232" s="404"/>
      <c r="R232" s="404"/>
      <c r="S232" s="404"/>
      <c r="T232" s="404"/>
      <c r="U232" s="404"/>
      <c r="V232" s="404"/>
      <c r="W232" s="404"/>
      <c r="X232" s="404"/>
      <c r="Y232" s="404"/>
      <c r="Z232" s="404"/>
      <c r="AA232" s="404"/>
      <c r="AB232" s="404"/>
      <c r="AC232" s="404"/>
      <c r="AD232" s="406"/>
      <c r="AE232" s="406"/>
    </row>
    <row r="233" spans="5:31" x14ac:dyDescent="0.35">
      <c r="E233" s="404"/>
      <c r="F233" s="404"/>
      <c r="G233" s="404"/>
      <c r="H233" s="404"/>
      <c r="I233" s="404"/>
      <c r="J233" s="404"/>
      <c r="K233" s="404"/>
      <c r="L233" s="404"/>
      <c r="M233" s="404"/>
      <c r="N233" s="404"/>
      <c r="O233" s="404"/>
      <c r="P233" s="404"/>
      <c r="Q233" s="404"/>
      <c r="R233" s="404"/>
      <c r="S233" s="404"/>
      <c r="T233" s="404"/>
      <c r="U233" s="404"/>
      <c r="V233" s="404"/>
      <c r="W233" s="404"/>
      <c r="X233" s="404"/>
      <c r="Y233" s="404"/>
      <c r="Z233" s="404"/>
      <c r="AA233" s="404"/>
      <c r="AB233" s="404"/>
      <c r="AC233" s="404"/>
      <c r="AD233" s="406"/>
      <c r="AE233" s="406"/>
    </row>
    <row r="234" spans="5:31" x14ac:dyDescent="0.35">
      <c r="E234" s="404"/>
      <c r="F234" s="404"/>
      <c r="G234" s="404"/>
      <c r="H234" s="404"/>
      <c r="I234" s="404"/>
      <c r="J234" s="404"/>
      <c r="K234" s="404"/>
      <c r="L234" s="404"/>
      <c r="M234" s="404"/>
      <c r="N234" s="404"/>
      <c r="O234" s="404"/>
      <c r="P234" s="404"/>
      <c r="Q234" s="404"/>
      <c r="R234" s="404"/>
      <c r="S234" s="404"/>
      <c r="T234" s="404"/>
      <c r="U234" s="404"/>
      <c r="V234" s="404"/>
      <c r="W234" s="404"/>
      <c r="X234" s="404"/>
      <c r="Y234" s="404"/>
      <c r="Z234" s="404"/>
      <c r="AA234" s="404"/>
      <c r="AB234" s="404"/>
      <c r="AC234" s="404"/>
      <c r="AD234" s="406"/>
      <c r="AE234" s="406"/>
    </row>
    <row r="235" spans="5:31" x14ac:dyDescent="0.35">
      <c r="E235" s="404"/>
      <c r="F235" s="404"/>
      <c r="G235" s="404"/>
      <c r="H235" s="404"/>
      <c r="I235" s="404"/>
      <c r="J235" s="404"/>
      <c r="K235" s="404"/>
      <c r="L235" s="404"/>
      <c r="M235" s="404"/>
      <c r="N235" s="404"/>
      <c r="O235" s="404"/>
      <c r="P235" s="404"/>
      <c r="Q235" s="404"/>
      <c r="R235" s="404"/>
      <c r="S235" s="404"/>
      <c r="T235" s="404"/>
      <c r="U235" s="404"/>
      <c r="V235" s="404"/>
      <c r="W235" s="404"/>
      <c r="X235" s="404"/>
      <c r="Y235" s="404"/>
      <c r="Z235" s="404"/>
      <c r="AA235" s="404"/>
      <c r="AB235" s="404"/>
      <c r="AC235" s="404"/>
      <c r="AD235" s="406"/>
      <c r="AE235" s="406"/>
    </row>
    <row r="236" spans="5:31" x14ac:dyDescent="0.35">
      <c r="E236" s="404"/>
      <c r="F236" s="404"/>
      <c r="G236" s="404"/>
      <c r="H236" s="404"/>
      <c r="I236" s="404"/>
      <c r="J236" s="404"/>
      <c r="K236" s="404"/>
      <c r="L236" s="404"/>
      <c r="M236" s="404"/>
      <c r="N236" s="404"/>
      <c r="O236" s="404"/>
      <c r="P236" s="404"/>
      <c r="Q236" s="404"/>
      <c r="R236" s="404"/>
      <c r="S236" s="404"/>
      <c r="T236" s="404"/>
      <c r="U236" s="404"/>
      <c r="V236" s="404"/>
      <c r="W236" s="404"/>
      <c r="X236" s="404"/>
      <c r="Y236" s="404"/>
      <c r="Z236" s="404"/>
      <c r="AA236" s="404"/>
      <c r="AB236" s="404"/>
      <c r="AC236" s="404"/>
      <c r="AD236" s="406"/>
      <c r="AE236" s="406"/>
    </row>
    <row r="237" spans="5:31" x14ac:dyDescent="0.35">
      <c r="E237" s="404"/>
      <c r="F237" s="404"/>
      <c r="G237" s="404"/>
      <c r="H237" s="404"/>
      <c r="I237" s="404"/>
      <c r="J237" s="404"/>
      <c r="K237" s="404"/>
      <c r="L237" s="404"/>
      <c r="M237" s="404"/>
      <c r="N237" s="404"/>
      <c r="O237" s="404"/>
      <c r="P237" s="404"/>
      <c r="Q237" s="404"/>
      <c r="R237" s="404"/>
      <c r="S237" s="404"/>
      <c r="T237" s="404"/>
      <c r="U237" s="404"/>
      <c r="V237" s="404"/>
      <c r="W237" s="404"/>
      <c r="X237" s="404"/>
      <c r="Y237" s="404"/>
      <c r="Z237" s="404"/>
      <c r="AA237" s="404"/>
      <c r="AB237" s="404"/>
      <c r="AC237" s="404"/>
      <c r="AD237" s="406"/>
      <c r="AE237" s="406"/>
    </row>
    <row r="238" spans="5:31" x14ac:dyDescent="0.35">
      <c r="E238" s="404"/>
      <c r="F238" s="404"/>
      <c r="G238" s="404"/>
      <c r="H238" s="404"/>
      <c r="I238" s="404"/>
      <c r="J238" s="404"/>
      <c r="K238" s="404"/>
      <c r="L238" s="404"/>
      <c r="M238" s="404"/>
      <c r="N238" s="404"/>
      <c r="O238" s="404"/>
      <c r="P238" s="404"/>
      <c r="Q238" s="404"/>
      <c r="R238" s="404"/>
      <c r="S238" s="404"/>
      <c r="T238" s="404"/>
      <c r="U238" s="404"/>
      <c r="V238" s="404"/>
      <c r="W238" s="404"/>
      <c r="X238" s="404"/>
      <c r="Y238" s="404"/>
      <c r="Z238" s="404"/>
      <c r="AA238" s="404"/>
      <c r="AB238" s="404"/>
      <c r="AC238" s="404"/>
      <c r="AD238" s="406"/>
      <c r="AE238" s="406"/>
    </row>
    <row r="239" spans="5:31" x14ac:dyDescent="0.35">
      <c r="E239" s="404"/>
      <c r="F239" s="404"/>
      <c r="G239" s="404"/>
      <c r="H239" s="404"/>
      <c r="I239" s="404"/>
      <c r="J239" s="404"/>
      <c r="K239" s="404"/>
      <c r="L239" s="404"/>
      <c r="M239" s="404"/>
      <c r="N239" s="404"/>
      <c r="O239" s="404"/>
      <c r="P239" s="404"/>
      <c r="Q239" s="404"/>
      <c r="R239" s="404"/>
      <c r="S239" s="404"/>
      <c r="T239" s="404"/>
      <c r="U239" s="404"/>
      <c r="V239" s="404"/>
      <c r="W239" s="404"/>
      <c r="X239" s="404"/>
      <c r="Y239" s="404"/>
      <c r="Z239" s="404"/>
      <c r="AA239" s="404"/>
      <c r="AB239" s="404"/>
      <c r="AC239" s="404"/>
      <c r="AD239" s="406"/>
      <c r="AE239" s="406"/>
    </row>
  </sheetData>
  <sheetProtection algorithmName="SHA-512" hashValue="BqqqH3TI1WZzP9oNk8yWEKsji8A1hJnX+3h1CDVXi2P0gKH3LI3i+sOLZu29BdgThiojFOtBVZa868rpabwA5w==" saltValue="jXs9PO/+qCL6ZOc4Pfi4gA==" spinCount="100000" sheet="1" objects="1" scenarios="1"/>
  <autoFilter ref="A1:DD126"/>
  <conditionalFormatting sqref="AX2:AX15">
    <cfRule type="cellIs" dxfId="222" priority="2" stopIfTrue="1" operator="equal">
      <formula>"Available"</formula>
    </cfRule>
  </conditionalFormatting>
  <conditionalFormatting sqref="AX29">
    <cfRule type="cellIs" dxfId="221" priority="1" stopIfTrue="1" operator="equal">
      <formula>"Available"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3:O275"/>
  <sheetViews>
    <sheetView showGridLines="0" view="pageBreakPreview" zoomScale="75" zoomScaleNormal="130" zoomScaleSheetLayoutView="75" zoomScalePageLayoutView="130" workbookViewId="0">
      <selection activeCell="A12" sqref="A12:M12"/>
    </sheetView>
  </sheetViews>
  <sheetFormatPr defaultColWidth="8.81640625" defaultRowHeight="14.5" x14ac:dyDescent="0.35"/>
  <cols>
    <col min="1" max="1" width="26.81640625" style="1" customWidth="1"/>
    <col min="2" max="2" width="11.81640625" style="1" bestFit="1" customWidth="1"/>
    <col min="3" max="3" width="19.81640625" style="1" customWidth="1"/>
    <col min="4" max="4" width="16.54296875" style="1" hidden="1" customWidth="1"/>
    <col min="5" max="5" width="19.453125" style="1" hidden="1" customWidth="1"/>
    <col min="6" max="6" width="15.54296875" style="1" customWidth="1"/>
    <col min="7" max="7" width="17.453125" style="1" customWidth="1"/>
    <col min="8" max="8" width="18.453125" style="1" customWidth="1"/>
    <col min="9" max="9" width="18.453125" style="1" hidden="1" customWidth="1"/>
    <col min="10" max="10" width="14.81640625" style="1" hidden="1" customWidth="1"/>
    <col min="11" max="11" width="10.453125" style="1" hidden="1" customWidth="1"/>
    <col min="12" max="12" width="20.7265625" style="1" hidden="1" customWidth="1"/>
    <col min="13" max="13" width="19.81640625" style="317" customWidth="1"/>
    <col min="14" max="14" width="32" style="318" hidden="1" customWidth="1"/>
    <col min="15" max="15" width="15.26953125" style="1" bestFit="1" customWidth="1"/>
    <col min="16" max="16384" width="8.81640625" style="1"/>
  </cols>
  <sheetData>
    <row r="3" spans="1:14" s="394" customFormat="1" x14ac:dyDescent="0.35">
      <c r="A3" s="393"/>
      <c r="M3" s="395"/>
      <c r="N3" s="336"/>
    </row>
    <row r="4" spans="1:14" x14ac:dyDescent="0.35">
      <c r="A4" s="60"/>
    </row>
    <row r="5" spans="1:14" x14ac:dyDescent="0.35">
      <c r="A5" s="60"/>
    </row>
    <row r="6" spans="1:14" x14ac:dyDescent="0.35">
      <c r="A6" s="60"/>
    </row>
    <row r="7" spans="1:14" x14ac:dyDescent="0.35">
      <c r="A7" s="60"/>
    </row>
    <row r="8" spans="1:14" x14ac:dyDescent="0.35">
      <c r="A8" s="60"/>
    </row>
    <row r="9" spans="1:14" x14ac:dyDescent="0.35">
      <c r="A9" s="60"/>
    </row>
    <row r="10" spans="1:14" x14ac:dyDescent="0.35">
      <c r="A10" s="493" t="s">
        <v>623</v>
      </c>
      <c r="B10" s="493"/>
      <c r="C10" s="493"/>
      <c r="D10" s="493"/>
      <c r="E10" s="493"/>
      <c r="F10" s="493"/>
      <c r="G10" s="493"/>
      <c r="H10" s="493"/>
      <c r="I10" s="493"/>
      <c r="J10" s="493"/>
      <c r="K10" s="493"/>
      <c r="L10" s="493"/>
      <c r="M10" s="493"/>
      <c r="N10" s="319"/>
    </row>
    <row r="11" spans="1:14" x14ac:dyDescent="0.35">
      <c r="A11" s="494" t="s">
        <v>939</v>
      </c>
      <c r="B11" s="494"/>
      <c r="C11" s="494"/>
      <c r="D11" s="494"/>
      <c r="E11" s="494"/>
      <c r="F11" s="494"/>
      <c r="G11" s="494"/>
      <c r="H11" s="494"/>
      <c r="I11" s="494"/>
      <c r="J11" s="494"/>
      <c r="K11" s="494"/>
      <c r="L11" s="494"/>
      <c r="M11" s="494"/>
      <c r="N11" s="320"/>
    </row>
    <row r="12" spans="1:14" x14ac:dyDescent="0.35">
      <c r="A12" s="495" t="s">
        <v>757</v>
      </c>
      <c r="B12" s="496"/>
      <c r="C12" s="496"/>
      <c r="D12" s="496"/>
      <c r="E12" s="496"/>
      <c r="F12" s="496"/>
      <c r="G12" s="496"/>
      <c r="H12" s="496"/>
      <c r="I12" s="496"/>
      <c r="J12" s="496"/>
      <c r="K12" s="496"/>
      <c r="L12" s="496"/>
      <c r="M12" s="497"/>
      <c r="N12" s="326"/>
    </row>
    <row r="13" spans="1:14" s="330" customFormat="1" x14ac:dyDescent="0.35">
      <c r="A13" s="61" t="s">
        <v>616</v>
      </c>
      <c r="B13" s="327" t="s">
        <v>574</v>
      </c>
      <c r="C13" s="327" t="s">
        <v>617</v>
      </c>
      <c r="D13" s="327" t="s">
        <v>31</v>
      </c>
      <c r="E13" s="327" t="s">
        <v>48</v>
      </c>
      <c r="F13" s="327" t="s">
        <v>618</v>
      </c>
      <c r="G13" s="327" t="s">
        <v>573</v>
      </c>
      <c r="H13" s="329" t="s">
        <v>619</v>
      </c>
      <c r="I13" s="327" t="s">
        <v>618</v>
      </c>
      <c r="M13" s="328" t="s">
        <v>21</v>
      </c>
      <c r="N13" s="331"/>
    </row>
    <row r="14" spans="1:14" hidden="1" x14ac:dyDescent="0.35">
      <c r="A14" s="332" t="str">
        <f>'The Arborage'!A2</f>
        <v>A-B1-L13</v>
      </c>
      <c r="B14" s="351">
        <f>'The Arborage'!S2</f>
        <v>250</v>
      </c>
      <c r="C14" s="351">
        <f>'The Arborage'!T2</f>
        <v>0</v>
      </c>
      <c r="D14" s="351">
        <f>VLOOKUP(A14,'The Arborage'!$A$2:$AV$126,(COLUMN('The Arborage'!$AE$1)),FALSE)</f>
        <v>9470000</v>
      </c>
      <c r="E14" s="351"/>
      <c r="F14" s="351">
        <f>'The Arborage'!AE2+'The Arborage'!AV2</f>
        <v>9470000</v>
      </c>
      <c r="G14" s="351">
        <f>'The Arborage'!AD2</f>
        <v>0</v>
      </c>
      <c r="H14" s="334">
        <f t="shared" ref="H14:H29" si="0">ROUND((F14*1.16)+G14,-2)</f>
        <v>10985200</v>
      </c>
      <c r="I14" s="351">
        <v>5160000</v>
      </c>
      <c r="M14" s="335" t="s">
        <v>648</v>
      </c>
      <c r="N14" s="336"/>
    </row>
    <row r="15" spans="1:14" hidden="1" x14ac:dyDescent="0.35">
      <c r="A15" s="332" t="str">
        <f>'The Arborage'!A3</f>
        <v>A-B1-L18</v>
      </c>
      <c r="B15" s="351">
        <f>'The Arborage'!S3</f>
        <v>250</v>
      </c>
      <c r="C15" s="351">
        <f>'The Arborage'!T3</f>
        <v>0</v>
      </c>
      <c r="D15" s="351">
        <f>VLOOKUP(A15,'The Arborage'!$A$2:$AV$126,(COLUMN('The Arborage'!$AE$1)),FALSE)</f>
        <v>9470000</v>
      </c>
      <c r="E15" s="351"/>
      <c r="F15" s="351">
        <f>'The Arborage'!AE3+'The Arborage'!AV3</f>
        <v>9470000</v>
      </c>
      <c r="G15" s="351">
        <f>'The Arborage'!AD3</f>
        <v>0</v>
      </c>
      <c r="H15" s="334">
        <f t="shared" si="0"/>
        <v>10985200</v>
      </c>
      <c r="I15" s="351">
        <v>5160000</v>
      </c>
      <c r="M15" s="353" t="s">
        <v>648</v>
      </c>
      <c r="N15" s="354"/>
    </row>
    <row r="16" spans="1:14" hidden="1" x14ac:dyDescent="0.35">
      <c r="A16" s="332" t="str">
        <f>'The Arborage'!A4</f>
        <v>A-B1-L4</v>
      </c>
      <c r="B16" s="351">
        <f>'The Arborage'!S4</f>
        <v>225</v>
      </c>
      <c r="C16" s="351">
        <f>'The Arborage'!T4</f>
        <v>0</v>
      </c>
      <c r="D16" s="351">
        <f>VLOOKUP(A16,'The Arborage'!$A$2:$AV$126,(COLUMN('The Arborage'!$AE$1)),FALSE)</f>
        <v>8530000</v>
      </c>
      <c r="E16" s="351"/>
      <c r="F16" s="351">
        <f>'The Arborage'!AE4+'The Arborage'!AV4</f>
        <v>8530000</v>
      </c>
      <c r="G16" s="351">
        <f>'The Arborage'!AD4</f>
        <v>0</v>
      </c>
      <c r="H16" s="334">
        <f t="shared" si="0"/>
        <v>9894800</v>
      </c>
      <c r="I16" s="351">
        <v>4644000</v>
      </c>
      <c r="M16" s="335" t="s">
        <v>648</v>
      </c>
      <c r="N16" s="336"/>
    </row>
    <row r="17" spans="1:14" hidden="1" x14ac:dyDescent="0.35">
      <c r="A17" s="332" t="str">
        <f>'The Arborage'!A5</f>
        <v>A-B4-L12</v>
      </c>
      <c r="B17" s="351">
        <f>'The Arborage'!S5</f>
        <v>240</v>
      </c>
      <c r="C17" s="351">
        <f>'The Arborage'!T5</f>
        <v>0</v>
      </c>
      <c r="D17" s="351">
        <f>VLOOKUP(A17,'The Arborage'!$A$2:$AV$126,(COLUMN('The Arborage'!$AE$1)),FALSE)</f>
        <v>9090000</v>
      </c>
      <c r="E17" s="351"/>
      <c r="F17" s="351">
        <f>'The Arborage'!AE5+'The Arborage'!AV5</f>
        <v>9090000</v>
      </c>
      <c r="G17" s="351">
        <f>'The Arborage'!AD5</f>
        <v>0</v>
      </c>
      <c r="H17" s="334">
        <f t="shared" si="0"/>
        <v>10544400</v>
      </c>
      <c r="I17" s="351">
        <v>4953600</v>
      </c>
      <c r="M17" s="335" t="s">
        <v>648</v>
      </c>
      <c r="N17" s="336"/>
    </row>
    <row r="18" spans="1:14" hidden="1" x14ac:dyDescent="0.35">
      <c r="A18" s="332" t="str">
        <f>'The Arborage'!A6</f>
        <v>A-B4-L13</v>
      </c>
      <c r="B18" s="351">
        <f>'The Arborage'!S6</f>
        <v>168</v>
      </c>
      <c r="C18" s="351">
        <f>'The Arborage'!T6</f>
        <v>0</v>
      </c>
      <c r="D18" s="351">
        <f>VLOOKUP(A18,'The Arborage'!$A$2:$AV$126,(COLUMN('The Arborage'!$AE$1)),FALSE)</f>
        <v>5540000</v>
      </c>
      <c r="E18" s="351"/>
      <c r="F18" s="351">
        <f>'The Arborage'!AE6+'The Arborage'!AV6</f>
        <v>5540000</v>
      </c>
      <c r="G18" s="351">
        <f>'The Arborage'!AD6</f>
        <v>0</v>
      </c>
      <c r="H18" s="334">
        <f t="shared" si="0"/>
        <v>6426400</v>
      </c>
      <c r="I18" s="351">
        <v>3013920</v>
      </c>
      <c r="M18" s="335" t="s">
        <v>648</v>
      </c>
      <c r="N18" s="336"/>
    </row>
    <row r="19" spans="1:14" hidden="1" x14ac:dyDescent="0.35">
      <c r="A19" s="332" t="str">
        <f>'The Arborage'!A7</f>
        <v>A-B4-L15</v>
      </c>
      <c r="B19" s="351">
        <f>'The Arborage'!S7</f>
        <v>168</v>
      </c>
      <c r="C19" s="351">
        <f>'The Arborage'!T7</f>
        <v>0</v>
      </c>
      <c r="D19" s="351">
        <f>VLOOKUP(A19,'The Arborage'!$A$2:$AV$126,(COLUMN('The Arborage'!$AE$1)),FALSE)</f>
        <v>5540000</v>
      </c>
      <c r="E19" s="351"/>
      <c r="F19" s="351">
        <f>'The Arborage'!AE7+'The Arborage'!AV7</f>
        <v>5540000</v>
      </c>
      <c r="G19" s="351">
        <f>'The Arborage'!AD7</f>
        <v>0</v>
      </c>
      <c r="H19" s="334">
        <f t="shared" si="0"/>
        <v>6426400</v>
      </c>
      <c r="I19" s="351">
        <v>3013920</v>
      </c>
      <c r="M19" s="335" t="s">
        <v>648</v>
      </c>
      <c r="N19" s="336"/>
    </row>
    <row r="20" spans="1:14" hidden="1" x14ac:dyDescent="0.35">
      <c r="A20" s="332" t="str">
        <f>'The Arborage'!A8</f>
        <v>A-B4-L17</v>
      </c>
      <c r="B20" s="351">
        <f>'The Arborage'!S8</f>
        <v>168</v>
      </c>
      <c r="C20" s="351">
        <f>'The Arborage'!T8</f>
        <v>0</v>
      </c>
      <c r="D20" s="351">
        <f>VLOOKUP(A20,'The Arborage'!$A$2:$AV$126,(COLUMN('The Arborage'!$AE$1)),FALSE)</f>
        <v>5540000</v>
      </c>
      <c r="E20" s="351"/>
      <c r="F20" s="351">
        <f>'The Arborage'!AE8+'The Arborage'!AV8</f>
        <v>5540000</v>
      </c>
      <c r="G20" s="351">
        <f>'The Arborage'!AD8</f>
        <v>0</v>
      </c>
      <c r="H20" s="334">
        <f t="shared" si="0"/>
        <v>6426400</v>
      </c>
      <c r="I20" s="351">
        <v>3013920</v>
      </c>
      <c r="M20" s="335" t="s">
        <v>648</v>
      </c>
      <c r="N20" s="336"/>
    </row>
    <row r="21" spans="1:14" hidden="1" x14ac:dyDescent="0.35">
      <c r="A21" s="332" t="str">
        <f>'The Arborage'!A9</f>
        <v>A-B5-L4</v>
      </c>
      <c r="B21" s="351">
        <f>'The Arborage'!S9</f>
        <v>238</v>
      </c>
      <c r="C21" s="351">
        <f>'The Arborage'!T9</f>
        <v>0</v>
      </c>
      <c r="D21" s="351">
        <f>VLOOKUP(A21,'The Arborage'!$A$2:$AV$126,(COLUMN('The Arborage'!$AE$1)),FALSE)</f>
        <v>7050000</v>
      </c>
      <c r="E21" s="351"/>
      <c r="F21" s="351">
        <f>'The Arborage'!AE9+'The Arborage'!AV9</f>
        <v>7050000</v>
      </c>
      <c r="G21" s="351">
        <f>'The Arborage'!AD9</f>
        <v>0</v>
      </c>
      <c r="H21" s="334">
        <f t="shared" si="0"/>
        <v>8178000</v>
      </c>
      <c r="I21" s="351">
        <v>3841320</v>
      </c>
      <c r="M21" s="335" t="s">
        <v>648</v>
      </c>
      <c r="N21" s="336"/>
    </row>
    <row r="22" spans="1:14" hidden="1" x14ac:dyDescent="0.35">
      <c r="A22" s="332" t="str">
        <f>'The Arborage'!A10</f>
        <v>A-B5-L6</v>
      </c>
      <c r="B22" s="351">
        <f>'The Arborage'!S10</f>
        <v>228</v>
      </c>
      <c r="C22" s="351">
        <f>'The Arborage'!T10</f>
        <v>0</v>
      </c>
      <c r="D22" s="351">
        <f>VLOOKUP(A22,'The Arborage'!$A$2:$AV$126,(COLUMN('The Arborage'!$AE$1)),FALSE)</f>
        <v>6760000</v>
      </c>
      <c r="E22" s="351"/>
      <c r="F22" s="351">
        <f>'The Arborage'!AE10+'The Arborage'!AV10</f>
        <v>6760000</v>
      </c>
      <c r="G22" s="351">
        <f>'The Arborage'!AD10</f>
        <v>0</v>
      </c>
      <c r="H22" s="334">
        <f t="shared" si="0"/>
        <v>7841600</v>
      </c>
      <c r="I22" s="351">
        <v>3679920</v>
      </c>
      <c r="M22" s="335" t="s">
        <v>648</v>
      </c>
      <c r="N22" s="336"/>
    </row>
    <row r="23" spans="1:14" hidden="1" x14ac:dyDescent="0.35">
      <c r="A23" s="332" t="str">
        <f>'The Arborage'!A11</f>
        <v>A-B6-L2</v>
      </c>
      <c r="B23" s="351">
        <f>'The Arborage'!S11</f>
        <v>223</v>
      </c>
      <c r="C23" s="351">
        <f>'The Arborage'!T11</f>
        <v>0</v>
      </c>
      <c r="D23" s="351">
        <f>VLOOKUP(A23,'The Arborage'!$A$2:$AV$126,(COLUMN('The Arborage'!$AE$1)),FALSE)</f>
        <v>6610000</v>
      </c>
      <c r="E23" s="351"/>
      <c r="F23" s="351">
        <f>'The Arborage'!AE11+'The Arborage'!AV11</f>
        <v>6610000</v>
      </c>
      <c r="G23" s="351">
        <f>'The Arborage'!AD11</f>
        <v>0</v>
      </c>
      <c r="H23" s="334">
        <f t="shared" si="0"/>
        <v>7667600</v>
      </c>
      <c r="I23" s="351">
        <v>3601450</v>
      </c>
      <c r="M23" s="335" t="s">
        <v>648</v>
      </c>
      <c r="N23" s="336"/>
    </row>
    <row r="24" spans="1:14" hidden="1" x14ac:dyDescent="0.35">
      <c r="A24" s="332" t="str">
        <f>'The Arborage'!A12</f>
        <v>A-B6-L5</v>
      </c>
      <c r="B24" s="351">
        <f>'The Arborage'!S12</f>
        <v>223</v>
      </c>
      <c r="C24" s="351">
        <f>'The Arborage'!T12</f>
        <v>0</v>
      </c>
      <c r="D24" s="351">
        <f>VLOOKUP(A24,'The Arborage'!$A$2:$AV$126,(COLUMN('The Arborage'!$AE$1)),FALSE)</f>
        <v>8080000</v>
      </c>
      <c r="E24" s="351"/>
      <c r="F24" s="351">
        <f>'The Arborage'!AE12+'The Arborage'!AV12</f>
        <v>8080000</v>
      </c>
      <c r="G24" s="351">
        <f>'The Arborage'!AD12</f>
        <v>0</v>
      </c>
      <c r="H24" s="334">
        <f t="shared" si="0"/>
        <v>9372800</v>
      </c>
      <c r="I24" s="351">
        <v>4402020</v>
      </c>
      <c r="M24" s="335" t="s">
        <v>648</v>
      </c>
      <c r="N24" s="336"/>
    </row>
    <row r="25" spans="1:14" hidden="1" x14ac:dyDescent="0.35">
      <c r="A25" s="364" t="str">
        <f>'The Arborage'!A13</f>
        <v>A-B5-L16</v>
      </c>
      <c r="B25" s="351">
        <f>'The Arborage'!S13</f>
        <v>271</v>
      </c>
      <c r="C25" s="351">
        <f>'The Arborage'!T13</f>
        <v>133</v>
      </c>
      <c r="D25" s="351">
        <v>6250000</v>
      </c>
      <c r="E25" s="351">
        <f>VLOOKUP(A25,'The Arborage'!$A$2:$AV$126,(COLUMN('The Arborage'!AV1)),FALSE)</f>
        <v>6190938</v>
      </c>
      <c r="F25" s="351">
        <f>D25+E25</f>
        <v>12440938</v>
      </c>
      <c r="G25" s="351">
        <f>1030490*2</f>
        <v>2060980</v>
      </c>
      <c r="H25" s="334">
        <f t="shared" si="0"/>
        <v>16492500</v>
      </c>
      <c r="I25" s="351">
        <v>8930838</v>
      </c>
      <c r="M25" s="353" t="s">
        <v>648</v>
      </c>
      <c r="N25" s="354"/>
    </row>
    <row r="26" spans="1:14" hidden="1" x14ac:dyDescent="0.35">
      <c r="A26" s="332" t="str">
        <f>'The Arborage'!A14</f>
        <v>A-B5-L19</v>
      </c>
      <c r="B26" s="351">
        <f>'The Arborage'!S14</f>
        <v>232</v>
      </c>
      <c r="C26" s="351">
        <f>'The Arborage'!T14</f>
        <v>133</v>
      </c>
      <c r="D26" s="351">
        <f>VLOOKUP(A26,'The Arborage'!$A$2:$AV$126,(COLUMN('The Arborage'!$AE$1)),FALSE)</f>
        <v>6880000</v>
      </c>
      <c r="E26" s="351">
        <f>VLOOKUP(A26,'The Arborage'!$A$2:$AV$126,(COLUMN('The Arborage'!AV2)),FALSE)</f>
        <v>5527620</v>
      </c>
      <c r="F26" s="351">
        <f t="shared" ref="F26:F90" si="1">D26+E26</f>
        <v>12407620</v>
      </c>
      <c r="G26" s="351">
        <f>'The Arborage'!AD14</f>
        <v>0</v>
      </c>
      <c r="H26" s="334">
        <f t="shared" si="0"/>
        <v>14392800</v>
      </c>
      <c r="I26" s="351">
        <v>9272100</v>
      </c>
      <c r="M26" s="335" t="s">
        <v>648</v>
      </c>
      <c r="N26" s="336"/>
    </row>
    <row r="27" spans="1:14" hidden="1" x14ac:dyDescent="0.35">
      <c r="A27" s="332" t="str">
        <f>'The Arborage'!A15</f>
        <v>A-B5-L5</v>
      </c>
      <c r="B27" s="351">
        <f>'The Arborage'!S15</f>
        <v>233</v>
      </c>
      <c r="C27" s="351">
        <f>'The Arborage'!T15</f>
        <v>133</v>
      </c>
      <c r="D27" s="351">
        <f>VLOOKUP(A27,'The Arborage'!$A$2:$AV$126,(COLUMN('The Arborage'!$AE$1)),FALSE)</f>
        <v>6910000</v>
      </c>
      <c r="E27" s="351">
        <f>VLOOKUP(A27,'The Arborage'!$A$2:$AV$126,(COLUMN('The Arborage'!AV3)),FALSE)</f>
        <v>5527620</v>
      </c>
      <c r="F27" s="351">
        <f t="shared" si="1"/>
        <v>12437620</v>
      </c>
      <c r="G27" s="351">
        <f>'The Arborage'!AD15</f>
        <v>0</v>
      </c>
      <c r="H27" s="334">
        <f t="shared" si="0"/>
        <v>14427600</v>
      </c>
      <c r="I27" s="351">
        <v>9288240</v>
      </c>
      <c r="M27" s="335" t="s">
        <v>648</v>
      </c>
      <c r="N27" s="336"/>
    </row>
    <row r="28" spans="1:14" hidden="1" x14ac:dyDescent="0.35">
      <c r="A28" s="364" t="str">
        <f>'The Arborage'!A16</f>
        <v>A-B2-L13</v>
      </c>
      <c r="B28" s="351">
        <f>'The Arborage'!S16</f>
        <v>252</v>
      </c>
      <c r="C28" s="351">
        <f>'The Arborage'!T16</f>
        <v>0</v>
      </c>
      <c r="D28" s="351">
        <f>VLOOKUP(A28,'The Arborage'!$A$2:$AV$126,(COLUMN('The Arborage'!$AE$1)),FALSE)</f>
        <v>8300000</v>
      </c>
      <c r="E28" s="351">
        <f>VLOOKUP(A28,'The Arborage'!$A$2:$AV$126,(COLUMN('The Arborage'!AV4)),FALSE)</f>
        <v>0</v>
      </c>
      <c r="F28" s="351">
        <f t="shared" si="1"/>
        <v>8300000</v>
      </c>
      <c r="G28" s="351">
        <f>'The Arborage'!AD16</f>
        <v>0</v>
      </c>
      <c r="H28" s="334">
        <f t="shared" si="0"/>
        <v>9628000</v>
      </c>
      <c r="I28" s="351">
        <v>9288240</v>
      </c>
      <c r="M28" s="335" t="s">
        <v>648</v>
      </c>
      <c r="N28" s="336"/>
    </row>
    <row r="29" spans="1:14" hidden="1" x14ac:dyDescent="0.35">
      <c r="A29" s="332" t="str">
        <f>'The Arborage'!A17</f>
        <v>A-B2-L11</v>
      </c>
      <c r="B29" s="351">
        <f>'The Arborage'!S17</f>
        <v>252</v>
      </c>
      <c r="C29" s="351">
        <f>'The Arborage'!T17</f>
        <v>0</v>
      </c>
      <c r="D29" s="351">
        <f>VLOOKUP(A29,'The Arborage'!$A$2:$AV$126,(COLUMN('The Arborage'!$AE$1)),FALSE)</f>
        <v>8300000</v>
      </c>
      <c r="E29" s="351">
        <f>VLOOKUP(A29,'The Arborage'!$A$2:$AV$126,(COLUMN('The Arborage'!AV5)),FALSE)</f>
        <v>0</v>
      </c>
      <c r="F29" s="351">
        <f t="shared" si="1"/>
        <v>8300000</v>
      </c>
      <c r="G29" s="351">
        <f>'The Arborage'!AD17</f>
        <v>0</v>
      </c>
      <c r="H29" s="334">
        <f t="shared" si="0"/>
        <v>9628000</v>
      </c>
      <c r="I29" s="351">
        <v>9288240</v>
      </c>
      <c r="M29" s="335" t="s">
        <v>648</v>
      </c>
      <c r="N29" s="336"/>
    </row>
    <row r="30" spans="1:14" hidden="1" x14ac:dyDescent="0.35">
      <c r="A30" s="332" t="str">
        <f>'The Arborage'!A18</f>
        <v>A-B2-L9</v>
      </c>
      <c r="B30" s="333">
        <f>'The Arborage'!S18</f>
        <v>252</v>
      </c>
      <c r="C30" s="333">
        <f>'The Arborage'!T18</f>
        <v>0</v>
      </c>
      <c r="D30" s="351">
        <f>VLOOKUP(A30,'The Arborage'!$A$2:$AV$126,(COLUMN('The Arborage'!$AE$1)),FALSE)</f>
        <v>8300000</v>
      </c>
      <c r="E30" s="351">
        <f>VLOOKUP(A30,'The Arborage'!$A$2:$AV$126,(COLUMN('The Arborage'!AV6)),FALSE)</f>
        <v>0</v>
      </c>
      <c r="F30" s="351">
        <f t="shared" si="1"/>
        <v>8300000</v>
      </c>
      <c r="G30" s="333">
        <f>'The Arborage'!AD18</f>
        <v>0</v>
      </c>
      <c r="H30" s="334">
        <f t="shared" ref="H30:H39" si="2">ROUND((F30*1.16)+G30,-2)</f>
        <v>9628000</v>
      </c>
      <c r="I30" s="333">
        <v>9288241</v>
      </c>
      <c r="M30" s="335" t="s">
        <v>648</v>
      </c>
      <c r="N30" s="336"/>
    </row>
    <row r="31" spans="1:14" hidden="1" x14ac:dyDescent="0.35">
      <c r="A31" s="332" t="str">
        <f>'The Arborage'!A19</f>
        <v>A-B2-L7</v>
      </c>
      <c r="B31" s="333">
        <f>'The Arborage'!S19</f>
        <v>252</v>
      </c>
      <c r="C31" s="333">
        <f>'The Arborage'!T19</f>
        <v>0</v>
      </c>
      <c r="D31" s="351">
        <v>8300000</v>
      </c>
      <c r="E31" s="351">
        <f>VLOOKUP(A31,'The Arborage'!$A$2:$AV$126,(COLUMN('The Arborage'!AV7)),FALSE)</f>
        <v>0</v>
      </c>
      <c r="F31" s="351">
        <f t="shared" si="1"/>
        <v>8300000</v>
      </c>
      <c r="G31" s="333">
        <f>'The Arborage'!AD19</f>
        <v>0</v>
      </c>
      <c r="H31" s="334">
        <f t="shared" si="2"/>
        <v>9628000</v>
      </c>
      <c r="I31" s="333">
        <v>9288242</v>
      </c>
      <c r="M31" s="335" t="s">
        <v>648</v>
      </c>
      <c r="N31" s="336"/>
    </row>
    <row r="32" spans="1:14" hidden="1" x14ac:dyDescent="0.35">
      <c r="A32" s="332" t="str">
        <f>'The Arborage'!A20</f>
        <v>A-B3-L16</v>
      </c>
      <c r="B32" s="333">
        <f>'The Arborage'!S20</f>
        <v>216</v>
      </c>
      <c r="C32" s="333">
        <f>'The Arborage'!T20</f>
        <v>0</v>
      </c>
      <c r="D32" s="351">
        <f>VLOOKUP(A32,'The Arborage'!$A$2:$AV$126,(COLUMN('The Arborage'!$AE$1)),FALSE)</f>
        <v>8180000</v>
      </c>
      <c r="E32" s="351">
        <f>VLOOKUP(A32,'The Arborage'!$A$2:$AV$126,(COLUMN('The Arborage'!AV8)),FALSE)</f>
        <v>0</v>
      </c>
      <c r="F32" s="351">
        <f t="shared" si="1"/>
        <v>8180000</v>
      </c>
      <c r="G32" s="333">
        <f>'The Arborage'!AD20</f>
        <v>0</v>
      </c>
      <c r="H32" s="334">
        <f t="shared" si="2"/>
        <v>9488800</v>
      </c>
      <c r="I32" s="333">
        <v>9288243</v>
      </c>
      <c r="M32" s="335" t="s">
        <v>648</v>
      </c>
      <c r="N32" s="336"/>
    </row>
    <row r="33" spans="1:14" hidden="1" x14ac:dyDescent="0.35">
      <c r="A33" s="332" t="str">
        <f>'The Arborage'!A21</f>
        <v>A-B3-L14</v>
      </c>
      <c r="B33" s="333">
        <f>'The Arborage'!S21</f>
        <v>216</v>
      </c>
      <c r="C33" s="333">
        <f>'The Arborage'!T21</f>
        <v>0</v>
      </c>
      <c r="D33" s="351">
        <f>VLOOKUP(A33,'The Arborage'!$A$2:$AV$126,(COLUMN('The Arborage'!$AE$1)),FALSE)</f>
        <v>8180000</v>
      </c>
      <c r="E33" s="351">
        <f>VLOOKUP(A33,'The Arborage'!$A$2:$AV$126,(COLUMN('The Arborage'!AV9)),FALSE)</f>
        <v>0</v>
      </c>
      <c r="F33" s="351">
        <f t="shared" si="1"/>
        <v>8180000</v>
      </c>
      <c r="G33" s="333">
        <f>'The Arborage'!AD21</f>
        <v>0</v>
      </c>
      <c r="H33" s="334">
        <f t="shared" si="2"/>
        <v>9488800</v>
      </c>
      <c r="I33" s="333">
        <v>9288244</v>
      </c>
      <c r="M33" s="335" t="s">
        <v>648</v>
      </c>
      <c r="N33" s="336"/>
    </row>
    <row r="34" spans="1:14" hidden="1" x14ac:dyDescent="0.35">
      <c r="A34" s="332" t="str">
        <f>'The Arborage'!A22</f>
        <v>A-B3-L12</v>
      </c>
      <c r="B34" s="333">
        <f>'The Arborage'!S22</f>
        <v>216</v>
      </c>
      <c r="C34" s="333">
        <f>'The Arborage'!T22</f>
        <v>0</v>
      </c>
      <c r="D34" s="351">
        <f>VLOOKUP(A34,'The Arborage'!$A$2:$AV$126,(COLUMN('The Arborage'!$AE$1)),FALSE)</f>
        <v>8180000</v>
      </c>
      <c r="E34" s="351">
        <f>VLOOKUP(A34,'The Arborage'!$A$2:$AV$126,(COLUMN('The Arborage'!AV10)),FALSE)</f>
        <v>0</v>
      </c>
      <c r="F34" s="351">
        <f t="shared" si="1"/>
        <v>8180000</v>
      </c>
      <c r="G34" s="333">
        <f>'The Arborage'!AD22</f>
        <v>0</v>
      </c>
      <c r="H34" s="334">
        <f t="shared" si="2"/>
        <v>9488800</v>
      </c>
      <c r="I34" s="333">
        <v>9288245</v>
      </c>
      <c r="M34" s="335" t="s">
        <v>648</v>
      </c>
      <c r="N34" s="336"/>
    </row>
    <row r="35" spans="1:14" hidden="1" x14ac:dyDescent="0.35">
      <c r="A35" s="337" t="str">
        <f>'The Arborage'!A23</f>
        <v>A-B3-L10</v>
      </c>
      <c r="B35" s="333">
        <f>'The Arborage'!S23</f>
        <v>216</v>
      </c>
      <c r="C35" s="333">
        <f>'The Arborage'!T23</f>
        <v>0</v>
      </c>
      <c r="D35" s="351">
        <f>VLOOKUP(A35,'The Arborage'!$A$2:$AV$126,(COLUMN('The Arborage'!$AE$1)),FALSE)</f>
        <v>8180000</v>
      </c>
      <c r="E35" s="351">
        <f>VLOOKUP(A35,'The Arborage'!$A$2:$AV$126,(COLUMN('The Arborage'!AV11)),FALSE)</f>
        <v>0</v>
      </c>
      <c r="F35" s="351">
        <f t="shared" si="1"/>
        <v>8180000</v>
      </c>
      <c r="G35" s="333">
        <f>'The Arborage'!AD23</f>
        <v>0</v>
      </c>
      <c r="H35" s="334">
        <f t="shared" si="2"/>
        <v>9488800</v>
      </c>
      <c r="I35" s="333">
        <v>9288246</v>
      </c>
      <c r="M35" s="335" t="s">
        <v>648</v>
      </c>
      <c r="N35" s="336"/>
    </row>
    <row r="36" spans="1:14" hidden="1" x14ac:dyDescent="0.35">
      <c r="A36" s="332" t="str">
        <f>'The Arborage'!A24</f>
        <v>A-B3-L8</v>
      </c>
      <c r="B36" s="333">
        <f>'The Arborage'!S24</f>
        <v>216</v>
      </c>
      <c r="C36" s="333">
        <f>'The Arborage'!T24</f>
        <v>0</v>
      </c>
      <c r="D36" s="351">
        <f>VLOOKUP(A36,'The Arborage'!$A$2:$AV$126,(COLUMN('The Arborage'!$AE$1)),FALSE)</f>
        <v>8180000</v>
      </c>
      <c r="E36" s="351">
        <f>VLOOKUP(A36,'The Arborage'!$A$2:$AV$126,(COLUMN('The Arborage'!AV12)),FALSE)</f>
        <v>0</v>
      </c>
      <c r="F36" s="351">
        <f t="shared" si="1"/>
        <v>8180000</v>
      </c>
      <c r="G36" s="333">
        <f>'The Arborage'!AD24</f>
        <v>0</v>
      </c>
      <c r="H36" s="334">
        <f t="shared" si="2"/>
        <v>9488800</v>
      </c>
      <c r="I36" s="333">
        <v>9288247</v>
      </c>
      <c r="M36" s="335" t="s">
        <v>648</v>
      </c>
      <c r="N36" s="336"/>
    </row>
    <row r="37" spans="1:14" hidden="1" x14ac:dyDescent="0.35">
      <c r="A37" s="332" t="str">
        <f>'The Arborage'!A25</f>
        <v>A-B3-L6</v>
      </c>
      <c r="B37" s="333">
        <f>'The Arborage'!S25</f>
        <v>216</v>
      </c>
      <c r="C37" s="333">
        <f>'The Arborage'!T25</f>
        <v>0</v>
      </c>
      <c r="D37" s="351">
        <f>VLOOKUP(A37,'The Arborage'!$A$2:$AV$126,(COLUMN('The Arborage'!$AE$1)),FALSE)</f>
        <v>8180000</v>
      </c>
      <c r="E37" s="351">
        <f>VLOOKUP(A37,'The Arborage'!$A$2:$AV$126,(COLUMN('The Arborage'!AV13)),FALSE)</f>
        <v>0</v>
      </c>
      <c r="F37" s="351">
        <f t="shared" si="1"/>
        <v>8180000</v>
      </c>
      <c r="G37" s="333">
        <f>'The Arborage'!AD25</f>
        <v>0</v>
      </c>
      <c r="H37" s="334">
        <f t="shared" si="2"/>
        <v>9488800</v>
      </c>
      <c r="I37" s="333">
        <v>9288248</v>
      </c>
      <c r="M37" s="335" t="s">
        <v>648</v>
      </c>
      <c r="N37" s="336"/>
    </row>
    <row r="38" spans="1:14" hidden="1" x14ac:dyDescent="0.35">
      <c r="A38" s="364" t="str">
        <f>'The Arborage'!A26</f>
        <v>A-B1-L21</v>
      </c>
      <c r="B38" s="351">
        <f>'The Arborage'!S26</f>
        <v>204</v>
      </c>
      <c r="C38" s="351">
        <f>'The Arborage'!T26</f>
        <v>0</v>
      </c>
      <c r="D38" s="351">
        <f>VLOOKUP(A38,'The Arborage'!$A$2:$AV$126,(COLUMN('The Arborage'!$AE$1)),FALSE)</f>
        <v>7730000</v>
      </c>
      <c r="E38" s="351">
        <f>VLOOKUP(A38,'The Arborage'!$A$2:$AV$126,(COLUMN('The Arborage'!AV14)),FALSE)</f>
        <v>0</v>
      </c>
      <c r="F38" s="351">
        <f t="shared" si="1"/>
        <v>7730000</v>
      </c>
      <c r="G38" s="351">
        <f>'The Arborage'!AD26</f>
        <v>0</v>
      </c>
      <c r="H38" s="334">
        <f t="shared" si="2"/>
        <v>8966800</v>
      </c>
      <c r="I38" s="351"/>
      <c r="M38" s="353" t="s">
        <v>648</v>
      </c>
      <c r="N38" s="354"/>
    </row>
    <row r="39" spans="1:14" hidden="1" x14ac:dyDescent="0.35">
      <c r="A39" s="364" t="str">
        <f>'The Arborage'!A27</f>
        <v>A-B1-L22</v>
      </c>
      <c r="B39" s="351">
        <f>'The Arborage'!S27</f>
        <v>366</v>
      </c>
      <c r="C39" s="351">
        <f>'The Arborage'!T27</f>
        <v>0</v>
      </c>
      <c r="D39" s="351">
        <f>VLOOKUP(A39,'The Arborage'!$A$2:$AV$126,(COLUMN('The Arborage'!$AE$1)),FALSE)</f>
        <v>12650000</v>
      </c>
      <c r="E39" s="351">
        <f>VLOOKUP(A39,'The Arborage'!$A$2:$AV$126,(COLUMN('The Arborage'!AV15)),FALSE)</f>
        <v>0</v>
      </c>
      <c r="F39" s="351">
        <f t="shared" si="1"/>
        <v>12650000</v>
      </c>
      <c r="G39" s="351">
        <f>'The Arborage'!AD27</f>
        <v>0</v>
      </c>
      <c r="H39" s="334">
        <f t="shared" si="2"/>
        <v>14674000</v>
      </c>
      <c r="I39" s="351"/>
      <c r="M39" s="353" t="s">
        <v>648</v>
      </c>
      <c r="N39" s="354"/>
    </row>
    <row r="40" spans="1:14" hidden="1" x14ac:dyDescent="0.35">
      <c r="A40" s="364" t="str">
        <f>'The Arborage'!A28</f>
        <v>A-B3-L13</v>
      </c>
      <c r="B40" s="351">
        <f>'The Arborage'!S28</f>
        <v>240</v>
      </c>
      <c r="C40" s="351">
        <f>'The Arborage'!T28</f>
        <v>0</v>
      </c>
      <c r="D40" s="351">
        <f>VLOOKUP(A40,'The Arborage'!$A$2:$AV$126,(COLUMN('The Arborage'!$AE$1)),FALSE)</f>
        <v>7910000</v>
      </c>
      <c r="E40" s="351">
        <f>VLOOKUP(A40,'The Arborage'!$A$2:$AV$126,(COLUMN('The Arborage'!AV16)),FALSE)</f>
        <v>0</v>
      </c>
      <c r="F40" s="351">
        <f t="shared" si="1"/>
        <v>7910000</v>
      </c>
      <c r="G40" s="351">
        <f>'The Arborage'!AD28</f>
        <v>0</v>
      </c>
      <c r="H40" s="334">
        <f>ROUND((F40*1.16)+G40,-2)</f>
        <v>9175600</v>
      </c>
      <c r="I40" s="351"/>
      <c r="M40" s="353" t="s">
        <v>648</v>
      </c>
      <c r="N40" s="354"/>
    </row>
    <row r="41" spans="1:14" hidden="1" x14ac:dyDescent="0.35">
      <c r="A41" s="364" t="str">
        <f>'The Arborage'!A29</f>
        <v>A-B4-L9</v>
      </c>
      <c r="B41" s="351">
        <f>'The Arborage'!S29</f>
        <v>168</v>
      </c>
      <c r="C41" s="351">
        <f>'The Arborage'!T29</f>
        <v>179</v>
      </c>
      <c r="D41" s="351">
        <f>VLOOKUP(A41,'The Arborage'!$A$2:$AV$126,(COLUMN('The Arborage'!$AE$1)),FALSE)</f>
        <v>5540000</v>
      </c>
      <c r="E41" s="351">
        <f>VLOOKUP(A41,'The Arborage'!$A$2:$AV$126,(COLUMN('The Arborage'!AV17)),FALSE)</f>
        <v>6120400</v>
      </c>
      <c r="F41" s="351">
        <f t="shared" ref="F41" si="3">D41+E41</f>
        <v>11660400</v>
      </c>
      <c r="G41" s="351">
        <f>'The Arborage'!AD29</f>
        <v>0</v>
      </c>
      <c r="H41" s="334">
        <f>ROUND((F41*1.16)+G41,-2)</f>
        <v>13526100</v>
      </c>
      <c r="I41" s="351"/>
      <c r="M41" s="353" t="s">
        <v>648</v>
      </c>
      <c r="N41" s="354"/>
    </row>
    <row r="42" spans="1:14" hidden="1" x14ac:dyDescent="0.35">
      <c r="A42" s="364" t="str">
        <f>'The Arborage'!A30</f>
        <v>B-B1-L1</v>
      </c>
      <c r="B42" s="351">
        <f>'The Arborage'!S30</f>
        <v>204</v>
      </c>
      <c r="C42" s="351">
        <f>'The Arborage'!T30</f>
        <v>0</v>
      </c>
      <c r="D42" s="351">
        <f>VLOOKUP(A42,'The Arborage'!$A$2:$AV$126,(COLUMN('The Arborage'!$AE$1)),FALSE)</f>
        <v>6513312</v>
      </c>
      <c r="E42" s="351">
        <f>VLOOKUP(A42,'The Arborage'!$A$2:$AV$126,(COLUMN('The Arborage'!AV17)),FALSE)</f>
        <v>0</v>
      </c>
      <c r="F42" s="351">
        <f t="shared" si="1"/>
        <v>6513312</v>
      </c>
      <c r="G42" s="351">
        <f>'The Arborage'!AD30</f>
        <v>0</v>
      </c>
      <c r="H42" s="334">
        <f t="shared" ref="H42:H105" si="4">ROUND((F42*1.16)+G42,-2)</f>
        <v>7555400</v>
      </c>
      <c r="I42" s="351"/>
      <c r="M42" s="353" t="s">
        <v>648</v>
      </c>
      <c r="N42" s="354"/>
    </row>
    <row r="43" spans="1:14" x14ac:dyDescent="0.35">
      <c r="A43" s="364" t="str">
        <f>'The Arborage'!A31</f>
        <v>B-B1-L2</v>
      </c>
      <c r="B43" s="351">
        <f>'The Arborage'!S31</f>
        <v>208</v>
      </c>
      <c r="C43" s="351">
        <f>'The Arborage'!T31</f>
        <v>0</v>
      </c>
      <c r="D43" s="351">
        <f>VLOOKUP(A43,'The Arborage'!$A$2:$AV$126,(COLUMN('The Arborage'!$AE$1)),FALSE)</f>
        <v>6297824</v>
      </c>
      <c r="E43" s="351">
        <f>VLOOKUP(A43,'The Arborage'!$A$2:$AV$126,(COLUMN('The Arborage'!AV18)),FALSE)</f>
        <v>0</v>
      </c>
      <c r="F43" s="351">
        <f t="shared" si="1"/>
        <v>6297824</v>
      </c>
      <c r="G43" s="351">
        <f>'The Arborage'!AD31</f>
        <v>0</v>
      </c>
      <c r="H43" s="334">
        <f t="shared" si="4"/>
        <v>7305500</v>
      </c>
      <c r="I43" s="351"/>
      <c r="M43" s="353" t="s">
        <v>647</v>
      </c>
      <c r="N43" s="354"/>
    </row>
    <row r="44" spans="1:14" x14ac:dyDescent="0.35">
      <c r="A44" s="364" t="str">
        <f>'The Arborage'!A32</f>
        <v>B-B1-L3</v>
      </c>
      <c r="B44" s="351">
        <f>'The Arborage'!S32</f>
        <v>213</v>
      </c>
      <c r="C44" s="351">
        <f>'The Arborage'!T32</f>
        <v>0</v>
      </c>
      <c r="D44" s="351">
        <f>VLOOKUP(A44,'The Arborage'!$A$2:$AV$126,(COLUMN('The Arborage'!$AE$1)),FALSE)</f>
        <v>6449214</v>
      </c>
      <c r="E44" s="351">
        <f>VLOOKUP(A44,'The Arborage'!$A$2:$AV$126,(COLUMN('The Arborage'!AV19)),FALSE)</f>
        <v>0</v>
      </c>
      <c r="F44" s="351">
        <f t="shared" si="1"/>
        <v>6449214</v>
      </c>
      <c r="G44" s="351">
        <f>'The Arborage'!AD32</f>
        <v>0</v>
      </c>
      <c r="H44" s="334">
        <f t="shared" si="4"/>
        <v>7481100</v>
      </c>
      <c r="I44" s="351"/>
      <c r="M44" s="353" t="s">
        <v>647</v>
      </c>
      <c r="N44" s="354"/>
    </row>
    <row r="45" spans="1:14" x14ac:dyDescent="0.35">
      <c r="A45" s="364" t="str">
        <f>'The Arborage'!A33</f>
        <v>B-B1-L4</v>
      </c>
      <c r="B45" s="351">
        <f>'The Arborage'!S33</f>
        <v>217</v>
      </c>
      <c r="C45" s="351">
        <f>'The Arborage'!T33</f>
        <v>0</v>
      </c>
      <c r="D45" s="351">
        <f>VLOOKUP(A45,'The Arborage'!$A$2:$AV$126,(COLUMN('The Arborage'!$AE$1)),FALSE)</f>
        <v>6570326</v>
      </c>
      <c r="E45" s="351">
        <f>VLOOKUP(A45,'The Arborage'!$A$2:$AV$126,(COLUMN('The Arborage'!AV20)),FALSE)</f>
        <v>0</v>
      </c>
      <c r="F45" s="351">
        <f t="shared" si="1"/>
        <v>6570326</v>
      </c>
      <c r="G45" s="351">
        <f>'The Arborage'!AD33</f>
        <v>0</v>
      </c>
      <c r="H45" s="334">
        <f t="shared" si="4"/>
        <v>7621600</v>
      </c>
      <c r="I45" s="351"/>
      <c r="M45" s="353" t="s">
        <v>647</v>
      </c>
      <c r="N45" s="354"/>
    </row>
    <row r="46" spans="1:14" x14ac:dyDescent="0.35">
      <c r="A46" s="364" t="str">
        <f>'The Arborage'!A34</f>
        <v>B-B1-L5</v>
      </c>
      <c r="B46" s="351">
        <f>'The Arborage'!S34</f>
        <v>221</v>
      </c>
      <c r="C46" s="351">
        <f>'The Arborage'!T34</f>
        <v>0</v>
      </c>
      <c r="D46" s="351">
        <f>VLOOKUP(A46,'The Arborage'!$A$2:$AV$126,(COLUMN('The Arborage'!$AE$1)),FALSE)</f>
        <v>6691438</v>
      </c>
      <c r="E46" s="351">
        <f>VLOOKUP(A46,'The Arborage'!$A$2:$AV$126,(COLUMN('The Arborage'!AV21)),FALSE)</f>
        <v>0</v>
      </c>
      <c r="F46" s="351">
        <f t="shared" si="1"/>
        <v>6691438</v>
      </c>
      <c r="G46" s="351">
        <f>'The Arborage'!AD34</f>
        <v>0</v>
      </c>
      <c r="H46" s="334">
        <f t="shared" si="4"/>
        <v>7762100</v>
      </c>
      <c r="I46" s="351"/>
      <c r="M46" s="353" t="s">
        <v>647</v>
      </c>
      <c r="N46" s="354"/>
    </row>
    <row r="47" spans="1:14" x14ac:dyDescent="0.35">
      <c r="A47" s="364" t="str">
        <f>'The Arborage'!A35</f>
        <v>B-B1-L6</v>
      </c>
      <c r="B47" s="351">
        <f>'The Arborage'!S35</f>
        <v>225</v>
      </c>
      <c r="C47" s="351">
        <f>'The Arborage'!T35</f>
        <v>0</v>
      </c>
      <c r="D47" s="351">
        <f>VLOOKUP(A47,'The Arborage'!$A$2:$AV$126,(COLUMN('The Arborage'!$AE$1)),FALSE)</f>
        <v>6812550</v>
      </c>
      <c r="E47" s="351">
        <f>VLOOKUP(A47,'The Arborage'!$A$2:$AV$126,(COLUMN('The Arborage'!AV22)),FALSE)</f>
        <v>0</v>
      </c>
      <c r="F47" s="351">
        <f t="shared" si="1"/>
        <v>6812550</v>
      </c>
      <c r="G47" s="351">
        <f>'The Arborage'!AD35</f>
        <v>0</v>
      </c>
      <c r="H47" s="334">
        <f t="shared" si="4"/>
        <v>7902600</v>
      </c>
      <c r="I47" s="351"/>
      <c r="M47" s="353" t="s">
        <v>647</v>
      </c>
      <c r="N47" s="354"/>
    </row>
    <row r="48" spans="1:14" x14ac:dyDescent="0.35">
      <c r="A48" s="364" t="str">
        <f>'The Arborage'!A36</f>
        <v>B-B1-L7</v>
      </c>
      <c r="B48" s="351">
        <f>'The Arborage'!S36</f>
        <v>229</v>
      </c>
      <c r="C48" s="351">
        <f>'The Arborage'!T36</f>
        <v>0</v>
      </c>
      <c r="D48" s="351">
        <f>VLOOKUP(A48,'The Arborage'!$A$2:$AV$126,(COLUMN('The Arborage'!$AE$1)),FALSE)</f>
        <v>6933662</v>
      </c>
      <c r="E48" s="351">
        <f>VLOOKUP(A48,'The Arborage'!$A$2:$AV$126,(COLUMN('The Arborage'!AV23)),FALSE)</f>
        <v>0</v>
      </c>
      <c r="F48" s="351">
        <f t="shared" si="1"/>
        <v>6933662</v>
      </c>
      <c r="G48" s="351">
        <f>'The Arborage'!AD36</f>
        <v>0</v>
      </c>
      <c r="H48" s="334">
        <f t="shared" si="4"/>
        <v>8043000</v>
      </c>
      <c r="I48" s="351"/>
      <c r="M48" s="353" t="s">
        <v>647</v>
      </c>
      <c r="N48" s="354"/>
    </row>
    <row r="49" spans="1:14" x14ac:dyDescent="0.35">
      <c r="A49" s="364" t="str">
        <f>'The Arborage'!A37</f>
        <v>B-B1-L8</v>
      </c>
      <c r="B49" s="351">
        <f>'The Arborage'!S37</f>
        <v>233</v>
      </c>
      <c r="C49" s="351">
        <f>'The Arborage'!T37</f>
        <v>0</v>
      </c>
      <c r="D49" s="351">
        <f>VLOOKUP(A49,'The Arborage'!$A$2:$AV$126,(COLUMN('The Arborage'!$AE$1)),FALSE)</f>
        <v>7054774</v>
      </c>
      <c r="E49" s="351">
        <f>VLOOKUP(A49,'The Arborage'!$A$2:$AV$126,(COLUMN('The Arborage'!AV24)),FALSE)</f>
        <v>0</v>
      </c>
      <c r="F49" s="351">
        <f t="shared" si="1"/>
        <v>7054774</v>
      </c>
      <c r="G49" s="351">
        <f>'The Arborage'!AD37</f>
        <v>0</v>
      </c>
      <c r="H49" s="334">
        <f t="shared" si="4"/>
        <v>8183500</v>
      </c>
      <c r="I49" s="351"/>
      <c r="M49" s="353" t="s">
        <v>647</v>
      </c>
      <c r="N49" s="354"/>
    </row>
    <row r="50" spans="1:14" x14ac:dyDescent="0.35">
      <c r="A50" s="364" t="str">
        <f>'The Arborage'!A38</f>
        <v>B-B1-L9</v>
      </c>
      <c r="B50" s="351">
        <f>'The Arborage'!S38</f>
        <v>237</v>
      </c>
      <c r="C50" s="351">
        <f>'The Arborage'!T38</f>
        <v>0</v>
      </c>
      <c r="D50" s="351">
        <f>VLOOKUP(A50,'The Arborage'!$A$2:$AV$126,(COLUMN('The Arborage'!$AE$1)),FALSE)</f>
        <v>7175886</v>
      </c>
      <c r="E50" s="351">
        <f>VLOOKUP(A50,'The Arborage'!$A$2:$AV$126,(COLUMN('The Arborage'!AV25)),FALSE)</f>
        <v>0</v>
      </c>
      <c r="F50" s="351">
        <f t="shared" si="1"/>
        <v>7175886</v>
      </c>
      <c r="G50" s="351">
        <f>'The Arborage'!AD38</f>
        <v>0</v>
      </c>
      <c r="H50" s="334">
        <f t="shared" si="4"/>
        <v>8324000</v>
      </c>
      <c r="I50" s="351"/>
      <c r="M50" s="353" t="s">
        <v>647</v>
      </c>
      <c r="N50" s="354"/>
    </row>
    <row r="51" spans="1:14" x14ac:dyDescent="0.35">
      <c r="A51" s="364" t="str">
        <f>'The Arborage'!A39</f>
        <v>B-B1-L10</v>
      </c>
      <c r="B51" s="351">
        <f>'The Arborage'!S39</f>
        <v>242</v>
      </c>
      <c r="C51" s="351">
        <f>'The Arborage'!T39</f>
        <v>0</v>
      </c>
      <c r="D51" s="351">
        <f>VLOOKUP(A51,'The Arborage'!$A$2:$AV$126,(COLUMN('The Arborage'!$AE$1)),FALSE)</f>
        <v>7327276</v>
      </c>
      <c r="E51" s="351">
        <f>VLOOKUP(A51,'The Arborage'!$A$2:$AV$126,(COLUMN('The Arborage'!AV26)),FALSE)</f>
        <v>0</v>
      </c>
      <c r="F51" s="351">
        <f t="shared" si="1"/>
        <v>7327276</v>
      </c>
      <c r="G51" s="351">
        <f>'The Arborage'!AD39</f>
        <v>0</v>
      </c>
      <c r="H51" s="334">
        <f t="shared" si="4"/>
        <v>8499600</v>
      </c>
      <c r="I51" s="351"/>
      <c r="M51" s="353" t="s">
        <v>647</v>
      </c>
      <c r="N51" s="354"/>
    </row>
    <row r="52" spans="1:14" hidden="1" x14ac:dyDescent="0.35">
      <c r="A52" s="364" t="str">
        <f>'The Arborage'!A40</f>
        <v>B-B1-L11</v>
      </c>
      <c r="B52" s="351">
        <f>'The Arborage'!S40</f>
        <v>246</v>
      </c>
      <c r="C52" s="351">
        <f>'The Arborage'!T40</f>
        <v>0</v>
      </c>
      <c r="D52" s="351">
        <f>VLOOKUP(A52,'The Arborage'!$A$2:$AV$126,(COLUMN('The Arborage'!$AE$1)),FALSE)</f>
        <v>5827248</v>
      </c>
      <c r="E52" s="351">
        <f>VLOOKUP(A52,'The Arborage'!$A$2:$AV$126,(COLUMN('The Arborage'!AV27)),FALSE)</f>
        <v>0</v>
      </c>
      <c r="F52" s="351">
        <f t="shared" si="1"/>
        <v>5827248</v>
      </c>
      <c r="G52" s="351">
        <f>'The Arborage'!AD40</f>
        <v>0</v>
      </c>
      <c r="H52" s="334">
        <f t="shared" si="4"/>
        <v>6759600</v>
      </c>
      <c r="I52" s="351"/>
      <c r="M52" s="353" t="s">
        <v>648</v>
      </c>
      <c r="N52" s="354"/>
    </row>
    <row r="53" spans="1:14" x14ac:dyDescent="0.35">
      <c r="A53" s="364" t="str">
        <f>'The Arborage'!A41</f>
        <v>B-B1-L12</v>
      </c>
      <c r="B53" s="351">
        <f>'The Arborage'!S41</f>
        <v>398</v>
      </c>
      <c r="C53" s="351">
        <f>'The Arborage'!T41</f>
        <v>0</v>
      </c>
      <c r="D53" s="351">
        <f>VLOOKUP(A53,'The Arborage'!$A$2:$AV$126,(COLUMN('The Arborage'!$AE$1)),FALSE)</f>
        <v>11393944</v>
      </c>
      <c r="E53" s="351">
        <f>VLOOKUP(A53,'The Arborage'!$A$2:$AV$126,(COLUMN('The Arborage'!AV28)),FALSE)</f>
        <v>0</v>
      </c>
      <c r="F53" s="351">
        <f t="shared" si="1"/>
        <v>11393944</v>
      </c>
      <c r="G53" s="351">
        <f>'The Arborage'!AD41</f>
        <v>0</v>
      </c>
      <c r="H53" s="334">
        <f t="shared" si="4"/>
        <v>13217000</v>
      </c>
      <c r="I53" s="351"/>
      <c r="M53" s="353" t="s">
        <v>647</v>
      </c>
      <c r="N53" s="354"/>
    </row>
    <row r="54" spans="1:14" x14ac:dyDescent="0.35">
      <c r="A54" s="364" t="str">
        <f>'The Arborage'!A42</f>
        <v>B-B1-L13</v>
      </c>
      <c r="B54" s="351">
        <f>'The Arborage'!S42</f>
        <v>326</v>
      </c>
      <c r="C54" s="351">
        <f>'The Arborage'!T42</f>
        <v>0</v>
      </c>
      <c r="D54" s="351">
        <f>VLOOKUP(A54,'The Arborage'!$A$2:$AV$126,(COLUMN('The Arborage'!$AE$1)),FALSE)</f>
        <v>12022228</v>
      </c>
      <c r="E54" s="351">
        <f>VLOOKUP(A54,'The Arborage'!$A$2:$AV$126,(COLUMN('The Arborage'!AV29)),FALSE)</f>
        <v>0</v>
      </c>
      <c r="F54" s="351">
        <f t="shared" si="1"/>
        <v>12022228</v>
      </c>
      <c r="G54" s="351">
        <f>'The Arborage'!AD42</f>
        <v>0</v>
      </c>
      <c r="H54" s="334">
        <f t="shared" si="4"/>
        <v>13945800</v>
      </c>
      <c r="I54" s="351"/>
      <c r="M54" s="353" t="s">
        <v>647</v>
      </c>
      <c r="N54" s="354"/>
    </row>
    <row r="55" spans="1:14" x14ac:dyDescent="0.35">
      <c r="A55" s="364" t="str">
        <f>'The Arborage'!A43</f>
        <v>B-B1-L14</v>
      </c>
      <c r="B55" s="351">
        <f>'The Arborage'!S43</f>
        <v>216</v>
      </c>
      <c r="C55" s="351">
        <f>'The Arborage'!T43</f>
        <v>0</v>
      </c>
      <c r="D55" s="351">
        <f>VLOOKUP(A55,'The Arborage'!$A$2:$AV$126,(COLUMN('The Arborage'!$AE$1)),FALSE)</f>
        <v>7252848</v>
      </c>
      <c r="E55" s="351">
        <f>VLOOKUP(A55,'The Arborage'!$A$2:$AV$126,(COLUMN('The Arborage'!AV30)),FALSE)</f>
        <v>0</v>
      </c>
      <c r="F55" s="351">
        <f t="shared" si="1"/>
        <v>7252848</v>
      </c>
      <c r="G55" s="351">
        <f>'The Arborage'!AD43</f>
        <v>0</v>
      </c>
      <c r="H55" s="334">
        <f t="shared" si="4"/>
        <v>8413300</v>
      </c>
      <c r="I55" s="351"/>
      <c r="M55" s="353" t="s">
        <v>647</v>
      </c>
      <c r="N55" s="354"/>
    </row>
    <row r="56" spans="1:14" x14ac:dyDescent="0.35">
      <c r="A56" s="364" t="str">
        <f>'The Arborage'!A44</f>
        <v>B-B1-L15</v>
      </c>
      <c r="B56" s="351">
        <f>'The Arborage'!S44</f>
        <v>216</v>
      </c>
      <c r="C56" s="351">
        <f>'The Arborage'!T44</f>
        <v>0</v>
      </c>
      <c r="D56" s="351">
        <f>VLOOKUP(A56,'The Arborage'!$A$2:$AV$126,(COLUMN('The Arborage'!$AE$1)),FALSE)</f>
        <v>7252848</v>
      </c>
      <c r="E56" s="351">
        <f>VLOOKUP(A56,'The Arborage'!$A$2:$AV$126,(COLUMN('The Arborage'!AV31)),FALSE)</f>
        <v>0</v>
      </c>
      <c r="F56" s="351">
        <f t="shared" si="1"/>
        <v>7252848</v>
      </c>
      <c r="G56" s="351">
        <f>'The Arborage'!AD44</f>
        <v>0</v>
      </c>
      <c r="H56" s="334">
        <f t="shared" si="4"/>
        <v>8413300</v>
      </c>
      <c r="I56" s="351"/>
      <c r="M56" s="353" t="s">
        <v>647</v>
      </c>
      <c r="N56" s="354"/>
    </row>
    <row r="57" spans="1:14" x14ac:dyDescent="0.35">
      <c r="A57" s="364" t="str">
        <f>'The Arborage'!A45</f>
        <v>B-B1-L16</v>
      </c>
      <c r="B57" s="351">
        <f>'The Arborage'!S45</f>
        <v>216</v>
      </c>
      <c r="C57" s="351">
        <f>'The Arborage'!T45</f>
        <v>0</v>
      </c>
      <c r="D57" s="351">
        <f>VLOOKUP(A57,'The Arborage'!$A$2:$AV$126,(COLUMN('The Arborage'!$AE$1)),FALSE)</f>
        <v>5829408</v>
      </c>
      <c r="E57" s="351">
        <f>VLOOKUP(A57,'The Arborage'!$A$2:$AV$126,(COLUMN('The Arborage'!AV32)),FALSE)</f>
        <v>0</v>
      </c>
      <c r="F57" s="351">
        <f t="shared" si="1"/>
        <v>5829408</v>
      </c>
      <c r="G57" s="351">
        <f>'The Arborage'!AD45</f>
        <v>0</v>
      </c>
      <c r="H57" s="334">
        <f t="shared" si="4"/>
        <v>6762100</v>
      </c>
      <c r="I57" s="351"/>
      <c r="M57" s="353" t="s">
        <v>647</v>
      </c>
      <c r="N57" s="354"/>
    </row>
    <row r="58" spans="1:14" x14ac:dyDescent="0.35">
      <c r="A58" s="364" t="str">
        <f>'The Arborage'!A46</f>
        <v>B-B1-L17</v>
      </c>
      <c r="B58" s="351">
        <f>'The Arborage'!S46</f>
        <v>216</v>
      </c>
      <c r="C58" s="351">
        <f>'The Arborage'!T46</f>
        <v>0</v>
      </c>
      <c r="D58" s="351">
        <f>VLOOKUP(A58,'The Arborage'!$A$2:$AV$126,(COLUMN('The Arborage'!$AE$1)),FALSE)</f>
        <v>7252848</v>
      </c>
      <c r="E58" s="351">
        <f>VLOOKUP(A58,'The Arborage'!$A$2:$AV$126,(COLUMN('The Arborage'!AV33)),FALSE)</f>
        <v>0</v>
      </c>
      <c r="F58" s="351">
        <f t="shared" si="1"/>
        <v>7252848</v>
      </c>
      <c r="G58" s="351">
        <f>'The Arborage'!AD46</f>
        <v>0</v>
      </c>
      <c r="H58" s="334">
        <f t="shared" si="4"/>
        <v>8413300</v>
      </c>
      <c r="I58" s="351"/>
      <c r="M58" s="353" t="s">
        <v>647</v>
      </c>
      <c r="N58" s="354"/>
    </row>
    <row r="59" spans="1:14" x14ac:dyDescent="0.35">
      <c r="A59" s="364" t="str">
        <f>'The Arborage'!A47</f>
        <v>B-B1-L18</v>
      </c>
      <c r="B59" s="351">
        <f>'The Arborage'!S47</f>
        <v>216</v>
      </c>
      <c r="C59" s="351">
        <f>'The Arborage'!T47</f>
        <v>0</v>
      </c>
      <c r="D59" s="351">
        <f>VLOOKUP(A59,'The Arborage'!$A$2:$AV$126,(COLUMN('The Arborage'!$AE$1)),FALSE)</f>
        <v>7252848</v>
      </c>
      <c r="E59" s="351">
        <f>VLOOKUP(A59,'The Arborage'!$A$2:$AV$126,(COLUMN('The Arborage'!AV34)),FALSE)</f>
        <v>0</v>
      </c>
      <c r="F59" s="351">
        <f t="shared" si="1"/>
        <v>7252848</v>
      </c>
      <c r="G59" s="351">
        <f>'The Arborage'!AD47</f>
        <v>0</v>
      </c>
      <c r="H59" s="334">
        <f t="shared" si="4"/>
        <v>8413300</v>
      </c>
      <c r="I59" s="351"/>
      <c r="M59" s="353" t="s">
        <v>647</v>
      </c>
      <c r="N59" s="354"/>
    </row>
    <row r="60" spans="1:14" x14ac:dyDescent="0.35">
      <c r="A60" s="364" t="str">
        <f>'The Arborage'!A48</f>
        <v>B-B1-L19</v>
      </c>
      <c r="B60" s="351">
        <f>'The Arborage'!S48</f>
        <v>216</v>
      </c>
      <c r="C60" s="351">
        <f>'The Arborage'!T48</f>
        <v>0</v>
      </c>
      <c r="D60" s="351">
        <f>VLOOKUP(A60,'The Arborage'!$A$2:$AV$126,(COLUMN('The Arborage'!$AE$1)),FALSE)</f>
        <v>7252848</v>
      </c>
      <c r="E60" s="351">
        <f>VLOOKUP(A60,'The Arborage'!$A$2:$AV$126,(COLUMN('The Arborage'!AV35)),FALSE)</f>
        <v>0</v>
      </c>
      <c r="F60" s="351">
        <f t="shared" si="1"/>
        <v>7252848</v>
      </c>
      <c r="G60" s="351">
        <f>'The Arborage'!AD48</f>
        <v>0</v>
      </c>
      <c r="H60" s="334">
        <f t="shared" si="4"/>
        <v>8413300</v>
      </c>
      <c r="I60" s="351"/>
      <c r="M60" s="353" t="s">
        <v>647</v>
      </c>
      <c r="N60" s="354"/>
    </row>
    <row r="61" spans="1:14" x14ac:dyDescent="0.35">
      <c r="A61" s="364" t="str">
        <f>'The Arborage'!A49</f>
        <v>B-B1-L20</v>
      </c>
      <c r="B61" s="351">
        <f>'The Arborage'!S49</f>
        <v>216</v>
      </c>
      <c r="C61" s="351">
        <f>'The Arborage'!T49</f>
        <v>0</v>
      </c>
      <c r="D61" s="351">
        <f>VLOOKUP(A61,'The Arborage'!$A$2:$AV$126,(COLUMN('The Arborage'!$AE$1)),FALSE)</f>
        <v>5829408</v>
      </c>
      <c r="E61" s="351">
        <f>VLOOKUP(A61,'The Arborage'!$A$2:$AV$126,(COLUMN('The Arborage'!AV36)),FALSE)</f>
        <v>0</v>
      </c>
      <c r="F61" s="351">
        <f t="shared" si="1"/>
        <v>5829408</v>
      </c>
      <c r="G61" s="351">
        <f>'The Arborage'!AD49</f>
        <v>0</v>
      </c>
      <c r="H61" s="334">
        <f t="shared" si="4"/>
        <v>6762100</v>
      </c>
      <c r="I61" s="351"/>
      <c r="M61" s="353" t="s">
        <v>647</v>
      </c>
      <c r="N61" s="354"/>
    </row>
    <row r="62" spans="1:14" hidden="1" x14ac:dyDescent="0.35">
      <c r="A62" s="364" t="str">
        <f>'The Arborage'!A50</f>
        <v>B-B1-L21</v>
      </c>
      <c r="B62" s="351">
        <f>'The Arborage'!S50</f>
        <v>216</v>
      </c>
      <c r="C62" s="351">
        <f>'The Arborage'!T50</f>
        <v>0</v>
      </c>
      <c r="D62" s="351">
        <f>VLOOKUP(A62,'The Arborage'!$A$2:$AV$126,(COLUMN('The Arborage'!$AE$1)),FALSE)</f>
        <v>7252848</v>
      </c>
      <c r="E62" s="351">
        <f>VLOOKUP(A62,'The Arborage'!$A$2:$AV$126,(COLUMN('The Arborage'!AV37)),FALSE)</f>
        <v>0</v>
      </c>
      <c r="F62" s="351">
        <f t="shared" si="1"/>
        <v>7252848</v>
      </c>
      <c r="G62" s="351">
        <f>'The Arborage'!AD50</f>
        <v>0</v>
      </c>
      <c r="H62" s="334">
        <f t="shared" si="4"/>
        <v>8413300</v>
      </c>
      <c r="I62" s="351"/>
      <c r="M62" s="353" t="s">
        <v>648</v>
      </c>
      <c r="N62" s="354"/>
    </row>
    <row r="63" spans="1:14" hidden="1" x14ac:dyDescent="0.35">
      <c r="A63" s="364" t="str">
        <f>'The Arborage'!A51</f>
        <v>B-B1-L22</v>
      </c>
      <c r="B63" s="351">
        <f>'The Arborage'!S51</f>
        <v>216</v>
      </c>
      <c r="C63" s="351">
        <f>'The Arborage'!T51</f>
        <v>0</v>
      </c>
      <c r="D63" s="351">
        <f>VLOOKUP(A63,'The Arborage'!$A$2:$AV$126,(COLUMN('The Arborage'!$AE$1)),FALSE)</f>
        <v>7252848</v>
      </c>
      <c r="E63" s="351">
        <f>VLOOKUP(A63,'The Arborage'!$A$2:$AV$126,(COLUMN('The Arborage'!AV38)),FALSE)</f>
        <v>0</v>
      </c>
      <c r="F63" s="351">
        <f t="shared" si="1"/>
        <v>7252848</v>
      </c>
      <c r="G63" s="351">
        <f>'The Arborage'!AD51</f>
        <v>0</v>
      </c>
      <c r="H63" s="334">
        <f t="shared" si="4"/>
        <v>8413300</v>
      </c>
      <c r="I63" s="351"/>
      <c r="M63" s="353" t="s">
        <v>648</v>
      </c>
      <c r="N63" s="354"/>
    </row>
    <row r="64" spans="1:14" x14ac:dyDescent="0.35">
      <c r="A64" s="364" t="str">
        <f>'The Arborage'!A52</f>
        <v>B-B1-L23</v>
      </c>
      <c r="B64" s="351">
        <f>'The Arborage'!S52</f>
        <v>216</v>
      </c>
      <c r="C64" s="351">
        <f>'The Arborage'!T52</f>
        <v>0</v>
      </c>
      <c r="D64" s="351">
        <f>VLOOKUP(A64,'The Arborage'!$A$2:$AV$126,(COLUMN('The Arborage'!$AE$1)),FALSE)</f>
        <v>7252848</v>
      </c>
      <c r="E64" s="351">
        <f>VLOOKUP(A64,'The Arborage'!$A$2:$AV$126,(COLUMN('The Arborage'!AV39)),FALSE)</f>
        <v>0</v>
      </c>
      <c r="F64" s="351">
        <f t="shared" si="1"/>
        <v>7252848</v>
      </c>
      <c r="G64" s="351">
        <f>'The Arborage'!AD52</f>
        <v>0</v>
      </c>
      <c r="H64" s="334">
        <f t="shared" si="4"/>
        <v>8413300</v>
      </c>
      <c r="I64" s="351"/>
      <c r="M64" s="353" t="s">
        <v>647</v>
      </c>
      <c r="N64" s="354"/>
    </row>
    <row r="65" spans="1:14" x14ac:dyDescent="0.35">
      <c r="A65" s="364" t="str">
        <f>'The Arborage'!A53</f>
        <v>B-B1-L24</v>
      </c>
      <c r="B65" s="351">
        <f>'The Arborage'!S53</f>
        <v>216</v>
      </c>
      <c r="C65" s="351">
        <f>'The Arborage'!T53</f>
        <v>0</v>
      </c>
      <c r="D65" s="351">
        <f>VLOOKUP(A65,'The Arborage'!$A$2:$AV$126,(COLUMN('The Arborage'!$AE$1)),FALSE)</f>
        <v>7252848</v>
      </c>
      <c r="E65" s="351">
        <f>VLOOKUP(A65,'The Arborage'!$A$2:$AV$126,(COLUMN('The Arborage'!AV40)),FALSE)</f>
        <v>0</v>
      </c>
      <c r="F65" s="351">
        <f t="shared" si="1"/>
        <v>7252848</v>
      </c>
      <c r="G65" s="351">
        <f>'The Arborage'!AD53</f>
        <v>0</v>
      </c>
      <c r="H65" s="334">
        <f t="shared" si="4"/>
        <v>8413300</v>
      </c>
      <c r="I65" s="351"/>
      <c r="M65" s="353" t="s">
        <v>647</v>
      </c>
      <c r="N65" s="354"/>
    </row>
    <row r="66" spans="1:14" x14ac:dyDescent="0.35">
      <c r="A66" s="364" t="str">
        <f>'The Arborage'!A54</f>
        <v>B-B1-L25</v>
      </c>
      <c r="B66" s="351">
        <f>'The Arborage'!S54</f>
        <v>216</v>
      </c>
      <c r="C66" s="351">
        <f>'The Arborage'!T54</f>
        <v>0</v>
      </c>
      <c r="D66" s="351">
        <f>VLOOKUP(A66,'The Arborage'!$A$2:$AV$126,(COLUMN('The Arborage'!$AE$1)),FALSE)</f>
        <v>7252848</v>
      </c>
      <c r="E66" s="351">
        <f>VLOOKUP(A66,'The Arborage'!$A$2:$AV$126,(COLUMN('The Arborage'!AV41)),FALSE)</f>
        <v>0</v>
      </c>
      <c r="F66" s="351">
        <f t="shared" si="1"/>
        <v>7252848</v>
      </c>
      <c r="G66" s="351">
        <f>'The Arborage'!AD54</f>
        <v>0</v>
      </c>
      <c r="H66" s="334">
        <f t="shared" si="4"/>
        <v>8413300</v>
      </c>
      <c r="I66" s="351"/>
      <c r="M66" s="353" t="s">
        <v>647</v>
      </c>
      <c r="N66" s="354"/>
    </row>
    <row r="67" spans="1:14" x14ac:dyDescent="0.35">
      <c r="A67" s="364" t="str">
        <f>'The Arborage'!A55</f>
        <v>B-B1-L26</v>
      </c>
      <c r="B67" s="351">
        <f>'The Arborage'!S55</f>
        <v>403</v>
      </c>
      <c r="C67" s="351">
        <f>'The Arborage'!T55</f>
        <v>0</v>
      </c>
      <c r="D67" s="351">
        <f>VLOOKUP(A67,'The Arborage'!$A$2:$AV$126,(COLUMN('The Arborage'!$AE$1)),FALSE)</f>
        <v>12866984</v>
      </c>
      <c r="E67" s="351">
        <f>VLOOKUP(A67,'The Arborage'!$A$2:$AV$126,(COLUMN('The Arborage'!AV42)),FALSE)</f>
        <v>0</v>
      </c>
      <c r="F67" s="351">
        <f t="shared" si="1"/>
        <v>12866984</v>
      </c>
      <c r="G67" s="351">
        <f>'The Arborage'!AD55</f>
        <v>0</v>
      </c>
      <c r="H67" s="334">
        <f t="shared" si="4"/>
        <v>14925700</v>
      </c>
      <c r="I67" s="351"/>
      <c r="M67" s="353" t="s">
        <v>647</v>
      </c>
      <c r="N67" s="354"/>
    </row>
    <row r="68" spans="1:14" x14ac:dyDescent="0.35">
      <c r="A68" s="364" t="str">
        <f>'The Arborage'!A56</f>
        <v>B-B1-L27</v>
      </c>
      <c r="B68" s="351">
        <f>'The Arborage'!S56</f>
        <v>442</v>
      </c>
      <c r="C68" s="351">
        <f>'The Arborage'!T56</f>
        <v>0</v>
      </c>
      <c r="D68" s="351">
        <f>VLOOKUP(A68,'The Arborage'!$A$2:$AV$126,(COLUMN('The Arborage'!$AE$1)),FALSE)</f>
        <v>17754256</v>
      </c>
      <c r="E68" s="351">
        <f>VLOOKUP(A68,'The Arborage'!$A$2:$AV$126,(COLUMN('The Arborage'!AV43)),FALSE)</f>
        <v>0</v>
      </c>
      <c r="F68" s="351">
        <f t="shared" si="1"/>
        <v>17754256</v>
      </c>
      <c r="G68" s="351">
        <f>'The Arborage'!AD56</f>
        <v>0</v>
      </c>
      <c r="H68" s="334">
        <f t="shared" si="4"/>
        <v>20594900</v>
      </c>
      <c r="I68" s="351"/>
      <c r="M68" s="353" t="s">
        <v>647</v>
      </c>
      <c r="N68" s="354"/>
    </row>
    <row r="69" spans="1:14" x14ac:dyDescent="0.35">
      <c r="A69" s="364" t="str">
        <f>'The Arborage'!A57</f>
        <v>B-B1-L28</v>
      </c>
      <c r="B69" s="351">
        <f>'The Arborage'!S57</f>
        <v>293</v>
      </c>
      <c r="C69" s="351">
        <f>'The Arborage'!T57</f>
        <v>0</v>
      </c>
      <c r="D69" s="351">
        <f>VLOOKUP(A69,'The Arborage'!$A$2:$AV$126,(COLUMN('The Arborage'!$AE$1)),FALSE)</f>
        <v>11285774</v>
      </c>
      <c r="E69" s="351">
        <f>VLOOKUP(A69,'The Arborage'!$A$2:$AV$126,(COLUMN('The Arborage'!AV44)),FALSE)</f>
        <v>0</v>
      </c>
      <c r="F69" s="351">
        <f t="shared" si="1"/>
        <v>11285774</v>
      </c>
      <c r="G69" s="351">
        <f>'The Arborage'!AD57</f>
        <v>0</v>
      </c>
      <c r="H69" s="334">
        <f t="shared" si="4"/>
        <v>13091500</v>
      </c>
      <c r="I69" s="351"/>
      <c r="M69" s="353" t="s">
        <v>647</v>
      </c>
      <c r="N69" s="354"/>
    </row>
    <row r="70" spans="1:14" x14ac:dyDescent="0.35">
      <c r="A70" s="364" t="str">
        <f>'The Arborage'!A58</f>
        <v>B-B1-L29</v>
      </c>
      <c r="B70" s="351">
        <f>'The Arborage'!S58</f>
        <v>278</v>
      </c>
      <c r="C70" s="351">
        <f>'The Arborage'!T58</f>
        <v>0</v>
      </c>
      <c r="D70" s="351">
        <f>VLOOKUP(A70,'The Arborage'!$A$2:$AV$126,(COLUMN('The Arborage'!$AE$1)),FALSE)</f>
        <v>10708004</v>
      </c>
      <c r="E70" s="351">
        <f>VLOOKUP(A70,'The Arborage'!$A$2:$AV$126,(COLUMN('The Arborage'!AV45)),FALSE)</f>
        <v>0</v>
      </c>
      <c r="F70" s="351">
        <f t="shared" si="1"/>
        <v>10708004</v>
      </c>
      <c r="G70" s="351">
        <f>'The Arborage'!AD58</f>
        <v>0</v>
      </c>
      <c r="H70" s="334">
        <f t="shared" si="4"/>
        <v>12421300</v>
      </c>
      <c r="I70" s="351"/>
      <c r="M70" s="353" t="s">
        <v>647</v>
      </c>
      <c r="N70" s="354"/>
    </row>
    <row r="71" spans="1:14" hidden="1" x14ac:dyDescent="0.35">
      <c r="A71" s="364" t="str">
        <f>'The Arborage'!A59</f>
        <v>B-B1-L30</v>
      </c>
      <c r="B71" s="351">
        <f>'The Arborage'!S59</f>
        <v>262</v>
      </c>
      <c r="C71" s="351">
        <f>'The Arborage'!T59</f>
        <v>0</v>
      </c>
      <c r="D71" s="351">
        <f>VLOOKUP(A71,'The Arborage'!$A$2:$AV$126,(COLUMN('The Arborage'!$AE$1)),FALSE)</f>
        <v>10091716</v>
      </c>
      <c r="E71" s="351">
        <f>VLOOKUP(A71,'The Arborage'!$A$2:$AV$126,(COLUMN('The Arborage'!AV46)),FALSE)</f>
        <v>0</v>
      </c>
      <c r="F71" s="351">
        <f t="shared" si="1"/>
        <v>10091716</v>
      </c>
      <c r="G71" s="351">
        <f>'The Arborage'!AD59</f>
        <v>0</v>
      </c>
      <c r="H71" s="334">
        <f t="shared" si="4"/>
        <v>11706400</v>
      </c>
      <c r="I71" s="351"/>
      <c r="M71" s="353" t="s">
        <v>648</v>
      </c>
      <c r="N71" s="354"/>
    </row>
    <row r="72" spans="1:14" hidden="1" x14ac:dyDescent="0.35">
      <c r="A72" s="364" t="str">
        <f>'The Arborage'!A60</f>
        <v>B-B1-L31</v>
      </c>
      <c r="B72" s="351">
        <f>'The Arborage'!S60</f>
        <v>247</v>
      </c>
      <c r="C72" s="351">
        <f>'The Arborage'!T60</f>
        <v>0</v>
      </c>
      <c r="D72" s="351">
        <f>VLOOKUP(A72,'The Arborage'!$A$2:$AV$126,(COLUMN('The Arborage'!$AE$1)),FALSE)</f>
        <v>9513946</v>
      </c>
      <c r="E72" s="351">
        <f>VLOOKUP(A72,'The Arborage'!$A$2:$AV$126,(COLUMN('The Arborage'!AV47)),FALSE)</f>
        <v>0</v>
      </c>
      <c r="F72" s="351">
        <f t="shared" si="1"/>
        <v>9513946</v>
      </c>
      <c r="G72" s="351">
        <f>'The Arborage'!AD60</f>
        <v>0</v>
      </c>
      <c r="H72" s="334">
        <f t="shared" si="4"/>
        <v>11036200</v>
      </c>
      <c r="I72" s="351"/>
      <c r="M72" s="353" t="s">
        <v>648</v>
      </c>
      <c r="N72" s="354"/>
    </row>
    <row r="73" spans="1:14" x14ac:dyDescent="0.35">
      <c r="A73" s="364" t="str">
        <f>'The Arborage'!A61</f>
        <v>B-B1-L32</v>
      </c>
      <c r="B73" s="351">
        <f>'The Arborage'!S61</f>
        <v>231</v>
      </c>
      <c r="C73" s="351">
        <f>'The Arborage'!T61</f>
        <v>0</v>
      </c>
      <c r="D73" s="351">
        <f>VLOOKUP(A73,'The Arborage'!$A$2:$AV$126,(COLUMN('The Arborage'!$AE$1)),FALSE)</f>
        <v>8897658</v>
      </c>
      <c r="E73" s="351">
        <f>VLOOKUP(A73,'The Arborage'!$A$2:$AV$126,(COLUMN('The Arborage'!AV48)),FALSE)</f>
        <v>0</v>
      </c>
      <c r="F73" s="351">
        <f t="shared" si="1"/>
        <v>8897658</v>
      </c>
      <c r="G73" s="351">
        <f>'The Arborage'!AD61</f>
        <v>0</v>
      </c>
      <c r="H73" s="334">
        <f t="shared" si="4"/>
        <v>10321300</v>
      </c>
      <c r="I73" s="351"/>
      <c r="M73" s="353" t="s">
        <v>647</v>
      </c>
      <c r="N73" s="354"/>
    </row>
    <row r="74" spans="1:14" x14ac:dyDescent="0.35">
      <c r="A74" s="364" t="str">
        <f>'The Arborage'!A62</f>
        <v>B-B1-L33</v>
      </c>
      <c r="B74" s="351">
        <f>'The Arborage'!S62</f>
        <v>225</v>
      </c>
      <c r="C74" s="351">
        <f>'The Arborage'!T62</f>
        <v>0</v>
      </c>
      <c r="D74" s="351">
        <f>VLOOKUP(A74,'The Arborage'!$A$2:$AV$126,(COLUMN('The Arborage'!$AE$1)),FALSE)</f>
        <v>8666550</v>
      </c>
      <c r="E74" s="351">
        <f>VLOOKUP(A74,'The Arborage'!$A$2:$AV$126,(COLUMN('The Arborage'!AV49)),FALSE)</f>
        <v>0</v>
      </c>
      <c r="F74" s="351">
        <f t="shared" si="1"/>
        <v>8666550</v>
      </c>
      <c r="G74" s="351">
        <f>'The Arborage'!AD62</f>
        <v>0</v>
      </c>
      <c r="H74" s="334">
        <f t="shared" si="4"/>
        <v>10053200</v>
      </c>
      <c r="I74" s="351"/>
      <c r="M74" s="353" t="s">
        <v>647</v>
      </c>
      <c r="N74" s="354"/>
    </row>
    <row r="75" spans="1:14" x14ac:dyDescent="0.35">
      <c r="A75" s="364" t="str">
        <f>'The Arborage'!A63</f>
        <v>B-B1-L34</v>
      </c>
      <c r="B75" s="351">
        <f>'The Arborage'!S63</f>
        <v>201</v>
      </c>
      <c r="C75" s="351">
        <f>'The Arborage'!T63</f>
        <v>0</v>
      </c>
      <c r="D75" s="351">
        <f>VLOOKUP(A75,'The Arborage'!$A$2:$AV$126,(COLUMN('The Arborage'!$AE$1)),FALSE)</f>
        <v>7742118</v>
      </c>
      <c r="E75" s="351">
        <f>VLOOKUP(A75,'The Arborage'!$A$2:$AV$126,(COLUMN('The Arborage'!AV50)),FALSE)</f>
        <v>0</v>
      </c>
      <c r="F75" s="351">
        <f t="shared" si="1"/>
        <v>7742118</v>
      </c>
      <c r="G75" s="351">
        <f>'The Arborage'!AD63</f>
        <v>0</v>
      </c>
      <c r="H75" s="334">
        <f t="shared" si="4"/>
        <v>8980900</v>
      </c>
      <c r="I75" s="351"/>
      <c r="M75" s="353" t="s">
        <v>647</v>
      </c>
      <c r="N75" s="354"/>
    </row>
    <row r="76" spans="1:14" x14ac:dyDescent="0.35">
      <c r="A76" s="364" t="str">
        <f>'The Arborage'!A64</f>
        <v>B-B1-L35</v>
      </c>
      <c r="B76" s="351">
        <f>'The Arborage'!S64</f>
        <v>205</v>
      </c>
      <c r="C76" s="351">
        <f>'The Arborage'!T64</f>
        <v>0</v>
      </c>
      <c r="D76" s="351">
        <f>VLOOKUP(A76,'The Arborage'!$A$2:$AV$126,(COLUMN('The Arborage'!$AE$1)),FALSE)</f>
        <v>7896190</v>
      </c>
      <c r="E76" s="351">
        <f>VLOOKUP(A76,'The Arborage'!$A$2:$AV$126,(COLUMN('The Arborage'!AV51)),FALSE)</f>
        <v>0</v>
      </c>
      <c r="F76" s="351">
        <f t="shared" si="1"/>
        <v>7896190</v>
      </c>
      <c r="G76" s="351">
        <f>'The Arborage'!AD64</f>
        <v>0</v>
      </c>
      <c r="H76" s="334">
        <f t="shared" si="4"/>
        <v>9159600</v>
      </c>
      <c r="I76" s="351"/>
      <c r="M76" s="353" t="s">
        <v>647</v>
      </c>
      <c r="N76" s="354"/>
    </row>
    <row r="77" spans="1:14" x14ac:dyDescent="0.35">
      <c r="A77" s="364" t="str">
        <f>'The Arborage'!A65</f>
        <v>B-B1-L36</v>
      </c>
      <c r="B77" s="351">
        <f>'The Arborage'!S65</f>
        <v>237</v>
      </c>
      <c r="C77" s="351">
        <f>'The Arborage'!T65</f>
        <v>0</v>
      </c>
      <c r="D77" s="351">
        <f>VLOOKUP(A77,'The Arborage'!$A$2:$AV$126,(COLUMN('The Arborage'!$AE$1)),FALSE)</f>
        <v>9128766</v>
      </c>
      <c r="E77" s="351">
        <f>VLOOKUP(A77,'The Arborage'!$A$2:$AV$126,(COLUMN('The Arborage'!AV52)),FALSE)</f>
        <v>0</v>
      </c>
      <c r="F77" s="351">
        <f t="shared" si="1"/>
        <v>9128766</v>
      </c>
      <c r="G77" s="351">
        <f>'The Arborage'!AD65</f>
        <v>0</v>
      </c>
      <c r="H77" s="334">
        <f t="shared" si="4"/>
        <v>10589400</v>
      </c>
      <c r="I77" s="351"/>
      <c r="M77" s="353" t="s">
        <v>647</v>
      </c>
      <c r="N77" s="354"/>
    </row>
    <row r="78" spans="1:14" hidden="1" x14ac:dyDescent="0.35">
      <c r="A78" s="364" t="str">
        <f>'The Arborage'!A66</f>
        <v>B-B2-L1</v>
      </c>
      <c r="B78" s="351">
        <f>'The Arborage'!S66</f>
        <v>323</v>
      </c>
      <c r="C78" s="351">
        <f>'The Arborage'!T66</f>
        <v>0</v>
      </c>
      <c r="D78" s="351">
        <f>VLOOKUP(A78,'The Arborage'!$A$2:$AV$126,(COLUMN('The Arborage'!$AE$1)),FALSE)</f>
        <v>13822220</v>
      </c>
      <c r="E78" s="351">
        <f>VLOOKUP(A78,'The Arborage'!$A$2:$AV$126,(COLUMN('The Arborage'!AV53)),FALSE)</f>
        <v>0</v>
      </c>
      <c r="F78" s="351">
        <f t="shared" si="1"/>
        <v>13822220</v>
      </c>
      <c r="G78" s="351">
        <f>'The Arborage'!AD66</f>
        <v>0</v>
      </c>
      <c r="H78" s="334">
        <f t="shared" si="4"/>
        <v>16033800</v>
      </c>
      <c r="I78" s="351"/>
      <c r="M78" s="353" t="s">
        <v>648</v>
      </c>
      <c r="N78" s="354"/>
    </row>
    <row r="79" spans="1:14" hidden="1" x14ac:dyDescent="0.35">
      <c r="A79" s="364" t="str">
        <f>'The Arborage'!A67</f>
        <v>B-B2-L2</v>
      </c>
      <c r="B79" s="351">
        <f>'The Arborage'!S67</f>
        <v>223</v>
      </c>
      <c r="C79" s="351">
        <f>'The Arborage'!T67</f>
        <v>0</v>
      </c>
      <c r="D79" s="351">
        <f>VLOOKUP(A79,'The Arborage'!$A$2:$AV$126,(COLUMN('The Arborage'!$AE$1)),FALSE)</f>
        <v>8812514</v>
      </c>
      <c r="E79" s="351">
        <f>VLOOKUP(A79,'The Arborage'!$A$2:$AV$126,(COLUMN('The Arborage'!AV54)),FALSE)</f>
        <v>0</v>
      </c>
      <c r="F79" s="351">
        <f t="shared" si="1"/>
        <v>8812514</v>
      </c>
      <c r="G79" s="351">
        <f>'The Arborage'!AD67</f>
        <v>0</v>
      </c>
      <c r="H79" s="334">
        <f t="shared" si="4"/>
        <v>10222500</v>
      </c>
      <c r="I79" s="351"/>
      <c r="M79" s="353" t="s">
        <v>648</v>
      </c>
      <c r="N79" s="354"/>
    </row>
    <row r="80" spans="1:14" x14ac:dyDescent="0.35">
      <c r="A80" s="364" t="str">
        <f>'The Arborage'!A68</f>
        <v>B-B2-L3</v>
      </c>
      <c r="B80" s="351">
        <f>'The Arborage'!S68</f>
        <v>232</v>
      </c>
      <c r="C80" s="351">
        <f>'The Arborage'!T68</f>
        <v>0</v>
      </c>
      <c r="D80" s="351">
        <f>VLOOKUP(A80,'The Arborage'!$A$2:$AV$126,(COLUMN('The Arborage'!$AE$1)),FALSE)</f>
        <v>8936176</v>
      </c>
      <c r="E80" s="351">
        <f>VLOOKUP(A80,'The Arborage'!$A$2:$AV$126,(COLUMN('The Arborage'!AV55)),FALSE)</f>
        <v>0</v>
      </c>
      <c r="F80" s="351">
        <f t="shared" si="1"/>
        <v>8936176</v>
      </c>
      <c r="G80" s="351">
        <f>'The Arborage'!AD68</f>
        <v>0</v>
      </c>
      <c r="H80" s="334">
        <f t="shared" si="4"/>
        <v>10366000</v>
      </c>
      <c r="I80" s="351"/>
      <c r="M80" s="353" t="s">
        <v>647</v>
      </c>
      <c r="N80" s="354"/>
    </row>
    <row r="81" spans="1:14" hidden="1" x14ac:dyDescent="0.35">
      <c r="A81" s="364" t="str">
        <f>'The Arborage'!A69</f>
        <v>B-B2-L4</v>
      </c>
      <c r="B81" s="351">
        <f>'The Arborage'!S69</f>
        <v>168</v>
      </c>
      <c r="C81" s="351">
        <f>'The Arborage'!T69</f>
        <v>0</v>
      </c>
      <c r="D81" s="351">
        <f>VLOOKUP(A81,'The Arborage'!$A$2:$AV$126,(COLUMN('The Arborage'!$AE$1)),FALSE)</f>
        <v>5918304</v>
      </c>
      <c r="E81" s="351">
        <f>VLOOKUP(A81,'The Arborage'!$A$2:$AV$126,(COLUMN('The Arborage'!AV56)),FALSE)</f>
        <v>0</v>
      </c>
      <c r="F81" s="351">
        <f t="shared" si="1"/>
        <v>5918304</v>
      </c>
      <c r="G81" s="351">
        <f>'The Arborage'!AD69</f>
        <v>0</v>
      </c>
      <c r="H81" s="334">
        <f t="shared" si="4"/>
        <v>6865200</v>
      </c>
      <c r="I81" s="351"/>
      <c r="M81" s="353" t="s">
        <v>648</v>
      </c>
      <c r="N81" s="354"/>
    </row>
    <row r="82" spans="1:14" x14ac:dyDescent="0.35">
      <c r="A82" s="364" t="str">
        <f>'The Arborage'!A70</f>
        <v>B-B2-L5</v>
      </c>
      <c r="B82" s="351">
        <f>'The Arborage'!S70</f>
        <v>238</v>
      </c>
      <c r="C82" s="351">
        <f>'The Arborage'!T70</f>
        <v>0</v>
      </c>
      <c r="D82" s="351">
        <f>VLOOKUP(A82,'The Arborage'!$A$2:$AV$126,(COLUMN('The Arborage'!$AE$1)),FALSE)</f>
        <v>9167284</v>
      </c>
      <c r="E82" s="351">
        <f>VLOOKUP(A82,'The Arborage'!$A$2:$AV$126,(COLUMN('The Arborage'!AV57)),FALSE)</f>
        <v>0</v>
      </c>
      <c r="F82" s="351">
        <f t="shared" si="1"/>
        <v>9167284</v>
      </c>
      <c r="G82" s="351">
        <f>'The Arborage'!AD70</f>
        <v>0</v>
      </c>
      <c r="H82" s="334">
        <f t="shared" si="4"/>
        <v>10634000</v>
      </c>
      <c r="I82" s="351"/>
      <c r="M82" s="353" t="s">
        <v>647</v>
      </c>
      <c r="N82" s="354"/>
    </row>
    <row r="83" spans="1:14" hidden="1" x14ac:dyDescent="0.35">
      <c r="A83" s="364" t="str">
        <f>'The Arborage'!A71</f>
        <v>B-B2-L6</v>
      </c>
      <c r="B83" s="351">
        <f>'The Arborage'!S71</f>
        <v>168</v>
      </c>
      <c r="C83" s="351">
        <f>'The Arborage'!T71</f>
        <v>0</v>
      </c>
      <c r="D83" s="351">
        <f>VLOOKUP(A83,'The Arborage'!$A$2:$AV$126,(COLUMN('The Arborage'!$AE$1)),FALSE)</f>
        <v>5641104</v>
      </c>
      <c r="E83" s="351">
        <f>VLOOKUP(A83,'The Arborage'!$A$2:$AV$126,(COLUMN('The Arborage'!AV58)),FALSE)</f>
        <v>0</v>
      </c>
      <c r="F83" s="351">
        <f t="shared" si="1"/>
        <v>5641104</v>
      </c>
      <c r="G83" s="351">
        <f>'The Arborage'!AD71</f>
        <v>0</v>
      </c>
      <c r="H83" s="334">
        <f t="shared" si="4"/>
        <v>6543700</v>
      </c>
      <c r="I83" s="351"/>
      <c r="M83" s="353" t="s">
        <v>648</v>
      </c>
      <c r="N83" s="354"/>
    </row>
    <row r="84" spans="1:14" x14ac:dyDescent="0.35">
      <c r="A84" s="364" t="str">
        <f>'The Arborage'!A72</f>
        <v>B-B2-L7</v>
      </c>
      <c r="B84" s="351">
        <f>'The Arborage'!S72</f>
        <v>245</v>
      </c>
      <c r="C84" s="351">
        <f>'The Arborage'!T72</f>
        <v>0</v>
      </c>
      <c r="D84" s="351">
        <f>VLOOKUP(A84,'The Arborage'!$A$2:$AV$126,(COLUMN('The Arborage'!$AE$1)),FALSE)</f>
        <v>9436910</v>
      </c>
      <c r="E84" s="351">
        <f>VLOOKUP(A84,'The Arborage'!$A$2:$AV$126,(COLUMN('The Arborage'!AV59)),FALSE)</f>
        <v>0</v>
      </c>
      <c r="F84" s="351">
        <f t="shared" si="1"/>
        <v>9436910</v>
      </c>
      <c r="G84" s="351">
        <f>'The Arborage'!AD72</f>
        <v>0</v>
      </c>
      <c r="H84" s="334">
        <f t="shared" si="4"/>
        <v>10946800</v>
      </c>
      <c r="I84" s="351"/>
      <c r="M84" s="353" t="s">
        <v>647</v>
      </c>
      <c r="N84" s="354"/>
    </row>
    <row r="85" spans="1:14" hidden="1" x14ac:dyDescent="0.35">
      <c r="A85" s="364" t="str">
        <f>'The Arborage'!A73</f>
        <v>B-B2-L8</v>
      </c>
      <c r="B85" s="351">
        <f>'The Arborage'!S73</f>
        <v>168</v>
      </c>
      <c r="C85" s="351">
        <f>'The Arborage'!T73</f>
        <v>0</v>
      </c>
      <c r="D85" s="351">
        <f>VLOOKUP(A85,'The Arborage'!$A$2:$AV$126,(COLUMN('The Arborage'!$AE$1)),FALSE)</f>
        <v>5641104</v>
      </c>
      <c r="E85" s="351">
        <f>VLOOKUP(A85,'The Arborage'!$A$2:$AV$126,(COLUMN('The Arborage'!AV60)),FALSE)</f>
        <v>0</v>
      </c>
      <c r="F85" s="351">
        <f t="shared" si="1"/>
        <v>5641104</v>
      </c>
      <c r="G85" s="351">
        <f>'The Arborage'!AD73</f>
        <v>0</v>
      </c>
      <c r="H85" s="334">
        <f t="shared" si="4"/>
        <v>6543700</v>
      </c>
      <c r="I85" s="351"/>
      <c r="M85" s="353" t="s">
        <v>648</v>
      </c>
      <c r="N85" s="354"/>
    </row>
    <row r="86" spans="1:14" hidden="1" x14ac:dyDescent="0.35">
      <c r="A86" s="364" t="str">
        <f>'The Arborage'!A74</f>
        <v>B-B2-L9</v>
      </c>
      <c r="B86" s="351">
        <f>'The Arborage'!S74</f>
        <v>251</v>
      </c>
      <c r="C86" s="351">
        <f>'The Arborage'!T74</f>
        <v>0</v>
      </c>
      <c r="D86" s="351">
        <f>VLOOKUP(A86,'The Arborage'!$A$2:$AV$126,(COLUMN('The Arborage'!$AE$1)),FALSE)</f>
        <v>9668018</v>
      </c>
      <c r="E86" s="351">
        <f>VLOOKUP(A86,'The Arborage'!$A$2:$AV$126,(COLUMN('The Arborage'!AV61)),FALSE)</f>
        <v>0</v>
      </c>
      <c r="F86" s="351">
        <f t="shared" si="1"/>
        <v>9668018</v>
      </c>
      <c r="G86" s="351">
        <f>'The Arborage'!AD74</f>
        <v>0</v>
      </c>
      <c r="H86" s="334">
        <f t="shared" si="4"/>
        <v>11214900</v>
      </c>
      <c r="I86" s="351"/>
      <c r="M86" s="353" t="s">
        <v>648</v>
      </c>
      <c r="N86" s="354"/>
    </row>
    <row r="87" spans="1:14" x14ac:dyDescent="0.35">
      <c r="A87" s="364" t="str">
        <f>'The Arborage'!A75</f>
        <v>B-B2-L10</v>
      </c>
      <c r="B87" s="351">
        <f>'The Arborage'!S75</f>
        <v>168</v>
      </c>
      <c r="C87" s="351">
        <f>'The Arborage'!T75</f>
        <v>0</v>
      </c>
      <c r="D87" s="351">
        <f>VLOOKUP(A87,'The Arborage'!$A$2:$AV$126,(COLUMN('The Arborage'!$AE$1)),FALSE)</f>
        <v>5641104</v>
      </c>
      <c r="E87" s="351">
        <f>VLOOKUP(A87,'The Arborage'!$A$2:$AV$126,(COLUMN('The Arborage'!AV62)),FALSE)</f>
        <v>0</v>
      </c>
      <c r="F87" s="351">
        <f t="shared" si="1"/>
        <v>5641104</v>
      </c>
      <c r="G87" s="351">
        <f>'The Arborage'!AD75</f>
        <v>0</v>
      </c>
      <c r="H87" s="334">
        <f t="shared" si="4"/>
        <v>6543700</v>
      </c>
      <c r="I87" s="351"/>
      <c r="M87" s="353" t="s">
        <v>647</v>
      </c>
      <c r="N87" s="354"/>
    </row>
    <row r="88" spans="1:14" hidden="1" x14ac:dyDescent="0.35">
      <c r="A88" s="364" t="str">
        <f>'The Arborage'!A76</f>
        <v>B-B2-L11</v>
      </c>
      <c r="B88" s="351">
        <f>'The Arborage'!S76</f>
        <v>258</v>
      </c>
      <c r="C88" s="351">
        <f>'The Arborage'!T76</f>
        <v>0</v>
      </c>
      <c r="D88" s="351">
        <f>VLOOKUP(A88,'The Arborage'!$A$2:$AV$126,(COLUMN('The Arborage'!$AE$1)),FALSE)</f>
        <v>9937644</v>
      </c>
      <c r="E88" s="351">
        <f>VLOOKUP(A88,'The Arborage'!$A$2:$AV$126,(COLUMN('The Arborage'!AV63)),FALSE)</f>
        <v>0</v>
      </c>
      <c r="F88" s="351">
        <f t="shared" si="1"/>
        <v>9937644</v>
      </c>
      <c r="G88" s="351">
        <f>'The Arborage'!AD76</f>
        <v>0</v>
      </c>
      <c r="H88" s="334">
        <f t="shared" si="4"/>
        <v>11527700</v>
      </c>
      <c r="I88" s="351"/>
      <c r="M88" s="353" t="s">
        <v>648</v>
      </c>
      <c r="N88" s="354"/>
    </row>
    <row r="89" spans="1:14" x14ac:dyDescent="0.35">
      <c r="A89" s="364" t="str">
        <f>'The Arborage'!A77</f>
        <v>B-B2-L12</v>
      </c>
      <c r="B89" s="351">
        <f>'The Arborage'!S77</f>
        <v>168</v>
      </c>
      <c r="C89" s="351">
        <f>'The Arborage'!T77</f>
        <v>0</v>
      </c>
      <c r="D89" s="351">
        <f>VLOOKUP(A89,'The Arborage'!$A$2:$AV$126,(COLUMN('The Arborage'!$AE$1)),FALSE)</f>
        <v>5641104</v>
      </c>
      <c r="E89" s="351">
        <f>VLOOKUP(A89,'The Arborage'!$A$2:$AV$126,(COLUMN('The Arborage'!AV64)),FALSE)</f>
        <v>0</v>
      </c>
      <c r="F89" s="351">
        <f t="shared" si="1"/>
        <v>5641104</v>
      </c>
      <c r="G89" s="351">
        <f>'The Arborage'!AD77</f>
        <v>0</v>
      </c>
      <c r="H89" s="334">
        <f t="shared" si="4"/>
        <v>6543700</v>
      </c>
      <c r="I89" s="351"/>
      <c r="M89" s="353" t="s">
        <v>647</v>
      </c>
      <c r="N89" s="354"/>
    </row>
    <row r="90" spans="1:14" x14ac:dyDescent="0.35">
      <c r="A90" s="364" t="str">
        <f>'The Arborage'!A78</f>
        <v>B-B2-L13</v>
      </c>
      <c r="B90" s="351">
        <f>'The Arborage'!S78</f>
        <v>265</v>
      </c>
      <c r="C90" s="351">
        <f>'The Arborage'!T78</f>
        <v>0</v>
      </c>
      <c r="D90" s="351">
        <f>VLOOKUP(A90,'The Arborage'!$A$2:$AV$126,(COLUMN('The Arborage'!$AE$1)),FALSE)</f>
        <v>10207270</v>
      </c>
      <c r="E90" s="351">
        <f>VLOOKUP(A90,'The Arborage'!$A$2:$AV$126,(COLUMN('The Arborage'!AV65)),FALSE)</f>
        <v>0</v>
      </c>
      <c r="F90" s="351">
        <f t="shared" si="1"/>
        <v>10207270</v>
      </c>
      <c r="G90" s="351">
        <f>'The Arborage'!AD78</f>
        <v>0</v>
      </c>
      <c r="H90" s="334">
        <f t="shared" si="4"/>
        <v>11840400</v>
      </c>
      <c r="I90" s="351"/>
      <c r="M90" s="353" t="s">
        <v>647</v>
      </c>
      <c r="N90" s="354"/>
    </row>
    <row r="91" spans="1:14" x14ac:dyDescent="0.35">
      <c r="A91" s="364" t="str">
        <f>'The Arborage'!A79</f>
        <v>B-B2-L14</v>
      </c>
      <c r="B91" s="351">
        <f>'The Arborage'!S79</f>
        <v>168</v>
      </c>
      <c r="C91" s="351">
        <f>'The Arborage'!T79</f>
        <v>0</v>
      </c>
      <c r="D91" s="351">
        <f>VLOOKUP(A91,'The Arborage'!$A$2:$AV$126,(COLUMN('The Arborage'!$AE$1)),FALSE)</f>
        <v>5641104</v>
      </c>
      <c r="E91" s="351">
        <f>VLOOKUP(A91,'The Arborage'!$A$2:$AV$126,(COLUMN('The Arborage'!AV66)),FALSE)</f>
        <v>0</v>
      </c>
      <c r="F91" s="351">
        <f t="shared" ref="F91:F138" si="5">D91+E91</f>
        <v>5641104</v>
      </c>
      <c r="G91" s="351">
        <f>'The Arborage'!AD79</f>
        <v>0</v>
      </c>
      <c r="H91" s="334">
        <f t="shared" si="4"/>
        <v>6543700</v>
      </c>
      <c r="I91" s="351"/>
      <c r="M91" s="353" t="s">
        <v>647</v>
      </c>
      <c r="N91" s="354"/>
    </row>
    <row r="92" spans="1:14" x14ac:dyDescent="0.35">
      <c r="A92" s="364" t="str">
        <f>'The Arborage'!A80</f>
        <v>B-B2-L15</v>
      </c>
      <c r="B92" s="351">
        <f>'The Arborage'!S80</f>
        <v>271</v>
      </c>
      <c r="C92" s="351">
        <f>'The Arborage'!T80</f>
        <v>0</v>
      </c>
      <c r="D92" s="351">
        <f>VLOOKUP(A92,'The Arborage'!$A$2:$AV$126,(COLUMN('The Arborage'!$AE$1)),FALSE)</f>
        <v>10438378</v>
      </c>
      <c r="E92" s="351">
        <f>VLOOKUP(A92,'The Arborage'!$A$2:$AV$126,(COLUMN('The Arborage'!AV67)),FALSE)</f>
        <v>0</v>
      </c>
      <c r="F92" s="351">
        <f t="shared" si="5"/>
        <v>10438378</v>
      </c>
      <c r="G92" s="351">
        <f>'The Arborage'!AD80</f>
        <v>0</v>
      </c>
      <c r="H92" s="334">
        <f t="shared" si="4"/>
        <v>12108500</v>
      </c>
      <c r="I92" s="351"/>
      <c r="M92" s="353" t="s">
        <v>647</v>
      </c>
      <c r="N92" s="354"/>
    </row>
    <row r="93" spans="1:14" x14ac:dyDescent="0.35">
      <c r="A93" s="364" t="str">
        <f>'The Arborage'!A81</f>
        <v>B-B2-L16</v>
      </c>
      <c r="B93" s="351">
        <f>'The Arborage'!S81</f>
        <v>168</v>
      </c>
      <c r="C93" s="351">
        <f>'The Arborage'!T81</f>
        <v>0</v>
      </c>
      <c r="D93" s="351">
        <f>VLOOKUP(A93,'The Arborage'!$A$2:$AV$126,(COLUMN('The Arborage'!$AE$1)),FALSE)</f>
        <v>5641104</v>
      </c>
      <c r="E93" s="351">
        <f>VLOOKUP(A93,'The Arborage'!$A$2:$AV$126,(COLUMN('The Arborage'!AV68)),FALSE)</f>
        <v>0</v>
      </c>
      <c r="F93" s="351">
        <f t="shared" si="5"/>
        <v>5641104</v>
      </c>
      <c r="G93" s="351">
        <f>'The Arborage'!AD81</f>
        <v>0</v>
      </c>
      <c r="H93" s="334">
        <f t="shared" si="4"/>
        <v>6543700</v>
      </c>
      <c r="I93" s="351"/>
      <c r="M93" s="353" t="s">
        <v>647</v>
      </c>
      <c r="N93" s="354"/>
    </row>
    <row r="94" spans="1:14" x14ac:dyDescent="0.35">
      <c r="A94" s="364" t="str">
        <f>'The Arborage'!A82</f>
        <v>B-B2-L17</v>
      </c>
      <c r="B94" s="351">
        <f>'The Arborage'!S82</f>
        <v>316</v>
      </c>
      <c r="C94" s="351">
        <f>'The Arborage'!T82</f>
        <v>0</v>
      </c>
      <c r="D94" s="351">
        <f>VLOOKUP(A94,'The Arborage'!$A$2:$AV$126,(COLUMN('The Arborage'!$AE$1)),FALSE)</f>
        <v>13214488</v>
      </c>
      <c r="E94" s="351">
        <f>VLOOKUP(A94,'The Arborage'!$A$2:$AV$126,(COLUMN('The Arborage'!AV69)),FALSE)</f>
        <v>0</v>
      </c>
      <c r="F94" s="351">
        <f t="shared" si="5"/>
        <v>13214488</v>
      </c>
      <c r="G94" s="351">
        <f>'The Arborage'!AD82</f>
        <v>0</v>
      </c>
      <c r="H94" s="334">
        <f t="shared" si="4"/>
        <v>15328800</v>
      </c>
      <c r="I94" s="351"/>
      <c r="M94" s="353" t="s">
        <v>647</v>
      </c>
      <c r="N94" s="354"/>
    </row>
    <row r="95" spans="1:14" hidden="1" x14ac:dyDescent="0.35">
      <c r="A95" s="364" t="str">
        <f>'The Arborage'!A83</f>
        <v>B-B2-L18</v>
      </c>
      <c r="B95" s="351">
        <f>'The Arborage'!S83</f>
        <v>168</v>
      </c>
      <c r="C95" s="351">
        <f>'The Arborage'!T83</f>
        <v>0</v>
      </c>
      <c r="D95" s="351">
        <f>VLOOKUP(A95,'The Arborage'!$A$2:$AV$126,(COLUMN('The Arborage'!$AE$1)),FALSE)</f>
        <v>5641104</v>
      </c>
      <c r="E95" s="351">
        <f>VLOOKUP(A95,'The Arborage'!$A$2:$AV$126,(COLUMN('The Arborage'!AV70)),FALSE)</f>
        <v>0</v>
      </c>
      <c r="F95" s="351">
        <f t="shared" si="5"/>
        <v>5641104</v>
      </c>
      <c r="G95" s="351">
        <f>'The Arborage'!AD83</f>
        <v>0</v>
      </c>
      <c r="H95" s="334">
        <f t="shared" si="4"/>
        <v>6543700</v>
      </c>
      <c r="I95" s="351"/>
      <c r="M95" s="353" t="s">
        <v>648</v>
      </c>
      <c r="N95" s="354"/>
    </row>
    <row r="96" spans="1:14" hidden="1" x14ac:dyDescent="0.35">
      <c r="A96" s="364" t="str">
        <f>'The Arborage'!A84</f>
        <v>B-B2-L19</v>
      </c>
      <c r="B96" s="351">
        <f>'The Arborage'!S84</f>
        <v>218</v>
      </c>
      <c r="C96" s="351">
        <f>'The Arborage'!T84</f>
        <v>0</v>
      </c>
      <c r="D96" s="351">
        <f>VLOOKUP(A96,'The Arborage'!$A$2:$AV$126,(COLUMN('The Arborage'!$AE$1)),FALSE)</f>
        <v>8039404</v>
      </c>
      <c r="E96" s="351">
        <f>VLOOKUP(A96,'The Arborage'!$A$2:$AV$126,(COLUMN('The Arborage'!AV71)),FALSE)</f>
        <v>0</v>
      </c>
      <c r="F96" s="351">
        <f t="shared" si="5"/>
        <v>8039404</v>
      </c>
      <c r="G96" s="351">
        <f>'The Arborage'!AD84</f>
        <v>0</v>
      </c>
      <c r="H96" s="334">
        <f t="shared" si="4"/>
        <v>9325700</v>
      </c>
      <c r="I96" s="351"/>
      <c r="M96" s="353" t="s">
        <v>648</v>
      </c>
      <c r="N96" s="354"/>
    </row>
    <row r="97" spans="1:14" hidden="1" x14ac:dyDescent="0.35">
      <c r="A97" s="364" t="str">
        <f>'The Arborage'!A85</f>
        <v>B-B3-L5</v>
      </c>
      <c r="B97" s="351">
        <f>'The Arborage'!S85</f>
        <v>216</v>
      </c>
      <c r="C97" s="351">
        <f>'The Arborage'!T85</f>
        <v>0</v>
      </c>
      <c r="D97" s="351">
        <f>VLOOKUP(A97,'The Arborage'!$A$2:$AV$126,(COLUMN('The Arborage'!$AE$1)),FALSE)</f>
        <v>8676288</v>
      </c>
      <c r="E97" s="351">
        <f>VLOOKUP(A97,'The Arborage'!$A$2:$AV$126,(COLUMN('The Arborage'!AV72)),FALSE)</f>
        <v>0</v>
      </c>
      <c r="F97" s="351">
        <f t="shared" si="5"/>
        <v>8676288</v>
      </c>
      <c r="G97" s="351">
        <f>'The Arborage'!AD85</f>
        <v>0</v>
      </c>
      <c r="H97" s="334">
        <f t="shared" si="4"/>
        <v>10064500</v>
      </c>
      <c r="I97" s="351"/>
      <c r="M97" s="353" t="s">
        <v>648</v>
      </c>
      <c r="N97" s="354"/>
    </row>
    <row r="98" spans="1:14" x14ac:dyDescent="0.35">
      <c r="A98" s="364" t="str">
        <f>'The Arborage'!A86</f>
        <v>B-B3-L6</v>
      </c>
      <c r="B98" s="351">
        <f>'The Arborage'!S86</f>
        <v>216</v>
      </c>
      <c r="C98" s="351">
        <f>'The Arborage'!T86</f>
        <v>0</v>
      </c>
      <c r="D98" s="351">
        <f>VLOOKUP(A98,'The Arborage'!$A$2:$AV$126,(COLUMN('The Arborage'!$AE$1)),FALSE)</f>
        <v>7609248</v>
      </c>
      <c r="E98" s="351">
        <f>VLOOKUP(A98,'The Arborage'!$A$2:$AV$126,(COLUMN('The Arborage'!AV73)),FALSE)</f>
        <v>0</v>
      </c>
      <c r="F98" s="351">
        <f t="shared" si="5"/>
        <v>7609248</v>
      </c>
      <c r="G98" s="351">
        <f>'The Arborage'!AD86</f>
        <v>0</v>
      </c>
      <c r="H98" s="334">
        <f t="shared" si="4"/>
        <v>8826700</v>
      </c>
      <c r="I98" s="351"/>
      <c r="M98" s="353" t="s">
        <v>647</v>
      </c>
      <c r="N98" s="354"/>
    </row>
    <row r="99" spans="1:14" hidden="1" x14ac:dyDescent="0.35">
      <c r="A99" s="364" t="str">
        <f>'The Arborage'!A87</f>
        <v>B-B3-L7</v>
      </c>
      <c r="B99" s="351">
        <f>'The Arborage'!S87</f>
        <v>216</v>
      </c>
      <c r="C99" s="351">
        <f>'The Arborage'!T87</f>
        <v>0</v>
      </c>
      <c r="D99" s="351">
        <f>VLOOKUP(A99,'The Arborage'!$A$2:$AV$126,(COLUMN('The Arborage'!$AE$1)),FALSE)</f>
        <v>8319888</v>
      </c>
      <c r="E99" s="351">
        <f>VLOOKUP(A99,'The Arborage'!$A$2:$AV$126,(COLUMN('The Arborage'!AV74)),FALSE)</f>
        <v>0</v>
      </c>
      <c r="F99" s="351">
        <f t="shared" si="5"/>
        <v>8319888</v>
      </c>
      <c r="G99" s="351">
        <f>'The Arborage'!AD87</f>
        <v>0</v>
      </c>
      <c r="H99" s="334">
        <f t="shared" si="4"/>
        <v>9651100</v>
      </c>
      <c r="I99" s="351"/>
      <c r="M99" s="353" t="s">
        <v>648</v>
      </c>
      <c r="N99" s="354"/>
    </row>
    <row r="100" spans="1:14" hidden="1" x14ac:dyDescent="0.35">
      <c r="A100" s="364" t="str">
        <f>'The Arborage'!A88</f>
        <v>B-B3-L8</v>
      </c>
      <c r="B100" s="351">
        <f>'The Arborage'!S88</f>
        <v>216</v>
      </c>
      <c r="C100" s="351">
        <f>'The Arborage'!T88</f>
        <v>0</v>
      </c>
      <c r="D100" s="351">
        <f>VLOOKUP(A100,'The Arborage'!$A$2:$AV$126,(COLUMN('The Arborage'!$AE$1)),FALSE)</f>
        <v>7252848</v>
      </c>
      <c r="E100" s="351">
        <f>VLOOKUP(A100,'The Arborage'!$A$2:$AV$126,(COLUMN('The Arborage'!AV75)),FALSE)</f>
        <v>0</v>
      </c>
      <c r="F100" s="351">
        <f t="shared" si="5"/>
        <v>7252848</v>
      </c>
      <c r="G100" s="351">
        <f>'The Arborage'!AD88</f>
        <v>0</v>
      </c>
      <c r="H100" s="334">
        <f t="shared" si="4"/>
        <v>8413300</v>
      </c>
      <c r="I100" s="351"/>
      <c r="M100" s="353" t="s">
        <v>648</v>
      </c>
      <c r="N100" s="354"/>
    </row>
    <row r="101" spans="1:14" hidden="1" x14ac:dyDescent="0.35">
      <c r="A101" s="364" t="str">
        <f>'The Arborage'!A89</f>
        <v>B-B3-L9</v>
      </c>
      <c r="B101" s="351">
        <f>'The Arborage'!S89</f>
        <v>216</v>
      </c>
      <c r="C101" s="351">
        <f>'The Arborage'!T89</f>
        <v>0</v>
      </c>
      <c r="D101" s="351">
        <f>VLOOKUP(A101,'The Arborage'!$A$2:$AV$126,(COLUMN('The Arborage'!$AE$1)),FALSE)</f>
        <v>8319888</v>
      </c>
      <c r="E101" s="351">
        <f>VLOOKUP(A101,'The Arborage'!$A$2:$AV$126,(COLUMN('The Arborage'!AV76)),FALSE)</f>
        <v>0</v>
      </c>
      <c r="F101" s="351">
        <f t="shared" si="5"/>
        <v>8319888</v>
      </c>
      <c r="G101" s="351">
        <f>'The Arborage'!AD89</f>
        <v>0</v>
      </c>
      <c r="H101" s="334">
        <f t="shared" si="4"/>
        <v>9651100</v>
      </c>
      <c r="I101" s="351"/>
      <c r="M101" s="353" t="s">
        <v>648</v>
      </c>
      <c r="N101" s="354"/>
    </row>
    <row r="102" spans="1:14" x14ac:dyDescent="0.35">
      <c r="A102" s="364" t="str">
        <f>'The Arborage'!A90</f>
        <v>B-B3-L10</v>
      </c>
      <c r="B102" s="351">
        <f>'The Arborage'!S90</f>
        <v>216</v>
      </c>
      <c r="C102" s="351">
        <f>'The Arborage'!T90</f>
        <v>0</v>
      </c>
      <c r="D102" s="351">
        <f>VLOOKUP(A102,'The Arborage'!$A$2:$AV$126,(COLUMN('The Arborage'!$AE$1)),FALSE)</f>
        <v>7252848</v>
      </c>
      <c r="E102" s="351">
        <f>VLOOKUP(A102,'The Arborage'!$A$2:$AV$126,(COLUMN('The Arborage'!AV77)),FALSE)</f>
        <v>0</v>
      </c>
      <c r="F102" s="351">
        <f t="shared" si="5"/>
        <v>7252848</v>
      </c>
      <c r="G102" s="351">
        <f>'The Arborage'!AD90</f>
        <v>0</v>
      </c>
      <c r="H102" s="334">
        <f t="shared" si="4"/>
        <v>8413300</v>
      </c>
      <c r="I102" s="351"/>
      <c r="M102" s="353" t="s">
        <v>647</v>
      </c>
      <c r="N102" s="354"/>
    </row>
    <row r="103" spans="1:14" hidden="1" x14ac:dyDescent="0.35">
      <c r="A103" s="364" t="str">
        <f>'The Arborage'!A91</f>
        <v>B-B3-L11</v>
      </c>
      <c r="B103" s="351">
        <f>'The Arborage'!S91</f>
        <v>216</v>
      </c>
      <c r="C103" s="351">
        <f>'The Arborage'!T91</f>
        <v>0</v>
      </c>
      <c r="D103" s="351">
        <f>VLOOKUP(A103,'The Arborage'!$A$2:$AV$126,(COLUMN('The Arborage'!$AE$1)),FALSE)</f>
        <v>8319888</v>
      </c>
      <c r="E103" s="351">
        <f>VLOOKUP(A103,'The Arborage'!$A$2:$AV$126,(COLUMN('The Arborage'!AV78)),FALSE)</f>
        <v>0</v>
      </c>
      <c r="F103" s="351">
        <f t="shared" si="5"/>
        <v>8319888</v>
      </c>
      <c r="G103" s="351">
        <f>'The Arborage'!AD91</f>
        <v>0</v>
      </c>
      <c r="H103" s="334">
        <f t="shared" si="4"/>
        <v>9651100</v>
      </c>
      <c r="I103" s="351"/>
      <c r="M103" s="353" t="s">
        <v>648</v>
      </c>
      <c r="N103" s="354"/>
    </row>
    <row r="104" spans="1:14" x14ac:dyDescent="0.35">
      <c r="A104" s="364" t="str">
        <f>'The Arborage'!A92</f>
        <v>B-B3-L12</v>
      </c>
      <c r="B104" s="351">
        <f>'The Arborage'!S92</f>
        <v>216</v>
      </c>
      <c r="C104" s="351">
        <f>'The Arborage'!T92</f>
        <v>0</v>
      </c>
      <c r="D104" s="351">
        <f>VLOOKUP(A104,'The Arborage'!$A$2:$AV$126,(COLUMN('The Arborage'!$AE$1)),FALSE)</f>
        <v>7252848</v>
      </c>
      <c r="E104" s="351">
        <f>VLOOKUP(A104,'The Arborage'!$A$2:$AV$126,(COLUMN('The Arborage'!AV79)),FALSE)</f>
        <v>0</v>
      </c>
      <c r="F104" s="351">
        <f t="shared" si="5"/>
        <v>7252848</v>
      </c>
      <c r="G104" s="351">
        <f>'The Arborage'!AD92</f>
        <v>0</v>
      </c>
      <c r="H104" s="334">
        <f t="shared" si="4"/>
        <v>8413300</v>
      </c>
      <c r="I104" s="351"/>
      <c r="M104" s="353" t="s">
        <v>647</v>
      </c>
      <c r="N104" s="354"/>
    </row>
    <row r="105" spans="1:14" x14ac:dyDescent="0.35">
      <c r="A105" s="364" t="str">
        <f>'The Arborage'!A93</f>
        <v>B-B3-L13</v>
      </c>
      <c r="B105" s="351">
        <f>'The Arborage'!S93</f>
        <v>216</v>
      </c>
      <c r="C105" s="351">
        <f>'The Arborage'!T93</f>
        <v>0</v>
      </c>
      <c r="D105" s="351">
        <f>VLOOKUP(A105,'The Arborage'!$A$2:$AV$126,(COLUMN('The Arborage'!$AE$1)),FALSE)</f>
        <v>8319888</v>
      </c>
      <c r="E105" s="351">
        <f>VLOOKUP(A105,'The Arborage'!$A$2:$AV$126,(COLUMN('The Arborage'!AV80)),FALSE)</f>
        <v>0</v>
      </c>
      <c r="F105" s="351">
        <f t="shared" si="5"/>
        <v>8319888</v>
      </c>
      <c r="G105" s="351">
        <f>'The Arborage'!AD93</f>
        <v>0</v>
      </c>
      <c r="H105" s="334">
        <f t="shared" si="4"/>
        <v>9651100</v>
      </c>
      <c r="I105" s="351"/>
      <c r="M105" s="353" t="s">
        <v>647</v>
      </c>
      <c r="N105" s="354"/>
    </row>
    <row r="106" spans="1:14" x14ac:dyDescent="0.35">
      <c r="A106" s="364" t="str">
        <f>'The Arborage'!A94</f>
        <v>B-B3-L14</v>
      </c>
      <c r="B106" s="351">
        <f>'The Arborage'!S94</f>
        <v>216</v>
      </c>
      <c r="C106" s="351">
        <f>'The Arborage'!T94</f>
        <v>0</v>
      </c>
      <c r="D106" s="351">
        <f>VLOOKUP(A106,'The Arborage'!$A$2:$AV$126,(COLUMN('The Arborage'!$AE$1)),FALSE)</f>
        <v>7252848</v>
      </c>
      <c r="E106" s="351">
        <f>VLOOKUP(A106,'The Arborage'!$A$2:$AV$126,(COLUMN('The Arborage'!AV81)),FALSE)</f>
        <v>0</v>
      </c>
      <c r="F106" s="351">
        <f t="shared" si="5"/>
        <v>7252848</v>
      </c>
      <c r="G106" s="351">
        <f>'The Arborage'!AD94</f>
        <v>0</v>
      </c>
      <c r="H106" s="334">
        <f t="shared" ref="H106:H138" si="6">ROUND((F106*1.16)+G106,-2)</f>
        <v>8413300</v>
      </c>
      <c r="I106" s="351"/>
      <c r="M106" s="353" t="s">
        <v>647</v>
      </c>
      <c r="N106" s="354"/>
    </row>
    <row r="107" spans="1:14" x14ac:dyDescent="0.35">
      <c r="A107" s="364" t="str">
        <f>'The Arborage'!A95</f>
        <v>B-B3-L15</v>
      </c>
      <c r="B107" s="351">
        <f>'The Arborage'!S95</f>
        <v>216</v>
      </c>
      <c r="C107" s="351">
        <f>'The Arborage'!T95</f>
        <v>0</v>
      </c>
      <c r="D107" s="351">
        <f>VLOOKUP(A107,'The Arborage'!$A$2:$AV$126,(COLUMN('The Arborage'!$AE$1)),FALSE)</f>
        <v>8319888</v>
      </c>
      <c r="E107" s="351">
        <f>VLOOKUP(A107,'The Arborage'!$A$2:$AV$126,(COLUMN('The Arborage'!AV82)),FALSE)</f>
        <v>0</v>
      </c>
      <c r="F107" s="351">
        <f t="shared" si="5"/>
        <v>8319888</v>
      </c>
      <c r="G107" s="351">
        <f>'The Arborage'!AD95</f>
        <v>0</v>
      </c>
      <c r="H107" s="334">
        <f t="shared" si="6"/>
        <v>9651100</v>
      </c>
      <c r="I107" s="351"/>
      <c r="M107" s="353" t="s">
        <v>647</v>
      </c>
      <c r="N107" s="354"/>
    </row>
    <row r="108" spans="1:14" x14ac:dyDescent="0.35">
      <c r="A108" s="364" t="str">
        <f>'The Arborage'!A96</f>
        <v>B-B3-L16</v>
      </c>
      <c r="B108" s="351">
        <f>'The Arborage'!S96</f>
        <v>216</v>
      </c>
      <c r="C108" s="351">
        <f>'The Arborage'!T96</f>
        <v>0</v>
      </c>
      <c r="D108" s="351">
        <f>VLOOKUP(A108,'The Arborage'!$A$2:$AV$126,(COLUMN('The Arborage'!$AE$1)),FALSE)</f>
        <v>7252848</v>
      </c>
      <c r="E108" s="351">
        <f>VLOOKUP(A108,'The Arborage'!$A$2:$AV$126,(COLUMN('The Arborage'!AV83)),FALSE)</f>
        <v>0</v>
      </c>
      <c r="F108" s="351">
        <f t="shared" si="5"/>
        <v>7252848</v>
      </c>
      <c r="G108" s="351">
        <f>'The Arborage'!AD96</f>
        <v>0</v>
      </c>
      <c r="H108" s="334">
        <f t="shared" si="6"/>
        <v>8413300</v>
      </c>
      <c r="I108" s="351"/>
      <c r="M108" s="353" t="s">
        <v>647</v>
      </c>
      <c r="N108" s="354"/>
    </row>
    <row r="109" spans="1:14" hidden="1" x14ac:dyDescent="0.35">
      <c r="A109" s="364" t="str">
        <f>'The Arborage'!A97</f>
        <v>B-B3-L17</v>
      </c>
      <c r="B109" s="351">
        <f>'The Arborage'!S97</f>
        <v>272</v>
      </c>
      <c r="C109" s="351">
        <f>'The Arborage'!T97</f>
        <v>0</v>
      </c>
      <c r="D109" s="351">
        <f>VLOOKUP(A109,'The Arborage'!$A$2:$AV$126,(COLUMN('The Arborage'!$AE$1)),FALSE)</f>
        <v>11374496</v>
      </c>
      <c r="E109" s="351">
        <f>VLOOKUP(A109,'The Arborage'!$A$2:$AV$126,(COLUMN('The Arborage'!AV84)),FALSE)</f>
        <v>0</v>
      </c>
      <c r="F109" s="351">
        <f t="shared" si="5"/>
        <v>11374496</v>
      </c>
      <c r="G109" s="351">
        <f>'The Arborage'!AD97</f>
        <v>0</v>
      </c>
      <c r="H109" s="334">
        <f t="shared" si="6"/>
        <v>13194400</v>
      </c>
      <c r="I109" s="351"/>
      <c r="M109" s="353" t="s">
        <v>648</v>
      </c>
      <c r="N109" s="354"/>
    </row>
    <row r="110" spans="1:14" hidden="1" x14ac:dyDescent="0.35">
      <c r="A110" s="364" t="str">
        <f>'The Arborage'!A98</f>
        <v>B-B3-L18</v>
      </c>
      <c r="B110" s="351">
        <f>'The Arborage'!S98</f>
        <v>288</v>
      </c>
      <c r="C110" s="351">
        <f>'The Arborage'!T98</f>
        <v>0</v>
      </c>
      <c r="D110" s="351">
        <f>VLOOKUP(A110,'The Arborage'!$A$2:$AV$126,(COLUMN('The Arborage'!$AE$1)),FALSE)</f>
        <v>10620864</v>
      </c>
      <c r="E110" s="351">
        <f>VLOOKUP(A110,'The Arborage'!$A$2:$AV$126,(COLUMN('The Arborage'!AV85)),FALSE)</f>
        <v>0</v>
      </c>
      <c r="F110" s="351">
        <f t="shared" si="5"/>
        <v>10620864</v>
      </c>
      <c r="G110" s="351">
        <f>'The Arborage'!AD98</f>
        <v>0</v>
      </c>
      <c r="H110" s="334">
        <f t="shared" si="6"/>
        <v>12320200</v>
      </c>
      <c r="I110" s="351"/>
      <c r="M110" s="353" t="s">
        <v>648</v>
      </c>
      <c r="N110" s="354"/>
    </row>
    <row r="111" spans="1:14" x14ac:dyDescent="0.35">
      <c r="A111" s="364" t="str">
        <f>'The Arborage'!A99</f>
        <v>B-B4-L1</v>
      </c>
      <c r="B111" s="351">
        <f>'The Arborage'!S99</f>
        <v>312</v>
      </c>
      <c r="C111" s="351">
        <f>'The Arborage'!T99</f>
        <v>0</v>
      </c>
      <c r="D111" s="351">
        <f>VLOOKUP(A111,'The Arborage'!$A$2:$AV$126,(COLUMN('The Arborage'!$AE$1)),FALSE)</f>
        <v>13351494</v>
      </c>
      <c r="E111" s="351">
        <f>VLOOKUP(A111,'The Arborage'!$A$2:$AV$126,(COLUMN('The Arborage'!AV86)),FALSE)</f>
        <v>0</v>
      </c>
      <c r="F111" s="351">
        <f t="shared" si="5"/>
        <v>13351494</v>
      </c>
      <c r="G111" s="351">
        <f>'The Arborage'!AD99</f>
        <v>0</v>
      </c>
      <c r="H111" s="334">
        <f t="shared" si="6"/>
        <v>15487700</v>
      </c>
      <c r="I111" s="351"/>
      <c r="M111" s="353" t="s">
        <v>647</v>
      </c>
      <c r="N111" s="354"/>
    </row>
    <row r="112" spans="1:14" hidden="1" x14ac:dyDescent="0.35">
      <c r="A112" s="364" t="str">
        <f>'The Arborage'!A100</f>
        <v>B-B4-L2</v>
      </c>
      <c r="B112" s="351">
        <f>'The Arborage'!S100</f>
        <v>269</v>
      </c>
      <c r="C112" s="351">
        <f>'The Arborage'!T100</f>
        <v>0</v>
      </c>
      <c r="D112" s="351">
        <f>VLOOKUP(A112,'The Arborage'!$A$2:$AV$126,(COLUMN('The Arborage'!$AE$1)),FALSE)</f>
        <v>10186492</v>
      </c>
      <c r="E112" s="351">
        <f>VLOOKUP(A112,'The Arborage'!$A$2:$AV$126,(COLUMN('The Arborage'!AV87)),FALSE)</f>
        <v>0</v>
      </c>
      <c r="F112" s="351">
        <f t="shared" si="5"/>
        <v>10186492</v>
      </c>
      <c r="G112" s="351">
        <f>'The Arborage'!AD100</f>
        <v>0</v>
      </c>
      <c r="H112" s="334">
        <f t="shared" si="6"/>
        <v>11816300</v>
      </c>
      <c r="I112" s="351"/>
      <c r="M112" s="353" t="s">
        <v>648</v>
      </c>
      <c r="N112" s="354"/>
    </row>
    <row r="113" spans="1:14" x14ac:dyDescent="0.35">
      <c r="A113" s="364" t="str">
        <f>'The Arborage'!A101</f>
        <v>B-B4-L3</v>
      </c>
      <c r="B113" s="351">
        <f>'The Arborage'!S101</f>
        <v>212</v>
      </c>
      <c r="C113" s="351">
        <f>'The Arborage'!T101</f>
        <v>0</v>
      </c>
      <c r="D113" s="351">
        <f>VLOOKUP(A113,'The Arborage'!$A$2:$AV$126,(COLUMN('The Arborage'!$AE$1)),FALSE)</f>
        <v>8515616</v>
      </c>
      <c r="E113" s="351">
        <f>VLOOKUP(A113,'The Arborage'!$A$2:$AV$126,(COLUMN('The Arborage'!AV88)),FALSE)</f>
        <v>0</v>
      </c>
      <c r="F113" s="351">
        <f t="shared" si="5"/>
        <v>8515616</v>
      </c>
      <c r="G113" s="351">
        <f>'The Arborage'!AD101</f>
        <v>0</v>
      </c>
      <c r="H113" s="334">
        <f t="shared" si="6"/>
        <v>9878100</v>
      </c>
      <c r="I113" s="351"/>
      <c r="M113" s="353" t="s">
        <v>647</v>
      </c>
      <c r="N113" s="354"/>
    </row>
    <row r="114" spans="1:14" x14ac:dyDescent="0.35">
      <c r="A114" s="364" t="str">
        <f>'The Arborage'!A102</f>
        <v>B-B4-L4</v>
      </c>
      <c r="B114" s="351">
        <f>'The Arborage'!S102</f>
        <v>216</v>
      </c>
      <c r="C114" s="351">
        <f>'The Arborage'!T102</f>
        <v>0</v>
      </c>
      <c r="D114" s="351">
        <f>VLOOKUP(A114,'The Arborage'!$A$2:$AV$126,(COLUMN('The Arborage'!$AE$1)),FALSE)</f>
        <v>7252848</v>
      </c>
      <c r="E114" s="351">
        <f>VLOOKUP(A114,'The Arborage'!$A$2:$AV$126,(COLUMN('The Arborage'!AV89)),FALSE)</f>
        <v>0</v>
      </c>
      <c r="F114" s="351">
        <f t="shared" si="5"/>
        <v>7252848</v>
      </c>
      <c r="G114" s="351">
        <f>'The Arborage'!AD102</f>
        <v>0</v>
      </c>
      <c r="H114" s="334">
        <f t="shared" si="6"/>
        <v>8413300</v>
      </c>
      <c r="I114" s="351"/>
      <c r="M114" s="353" t="s">
        <v>647</v>
      </c>
      <c r="N114" s="354"/>
    </row>
    <row r="115" spans="1:14" x14ac:dyDescent="0.35">
      <c r="A115" s="364" t="str">
        <f>'The Arborage'!A103</f>
        <v>B-B4-L5</v>
      </c>
      <c r="B115" s="351">
        <f>'The Arborage'!S103</f>
        <v>212</v>
      </c>
      <c r="C115" s="351">
        <f>'The Arborage'!T103</f>
        <v>0</v>
      </c>
      <c r="D115" s="351">
        <f>VLOOKUP(A115,'The Arborage'!$A$2:$AV$126,(COLUMN('The Arborage'!$AE$1)),FALSE)</f>
        <v>8165816</v>
      </c>
      <c r="E115" s="351">
        <f>VLOOKUP(A115,'The Arborage'!$A$2:$AV$126,(COLUMN('The Arborage'!AV90)),FALSE)</f>
        <v>0</v>
      </c>
      <c r="F115" s="351">
        <f t="shared" si="5"/>
        <v>8165816</v>
      </c>
      <c r="G115" s="351">
        <f>'The Arborage'!AD103</f>
        <v>0</v>
      </c>
      <c r="H115" s="334">
        <f t="shared" si="6"/>
        <v>9472300</v>
      </c>
      <c r="I115" s="351"/>
      <c r="M115" s="353" t="s">
        <v>647</v>
      </c>
      <c r="N115" s="354"/>
    </row>
    <row r="116" spans="1:14" x14ac:dyDescent="0.35">
      <c r="A116" s="364" t="str">
        <f>'The Arborage'!A104</f>
        <v>B-B4-L6</v>
      </c>
      <c r="B116" s="351">
        <f>'The Arborage'!S104</f>
        <v>216</v>
      </c>
      <c r="C116" s="351">
        <f>'The Arborage'!T104</f>
        <v>0</v>
      </c>
      <c r="D116" s="351">
        <f>VLOOKUP(A116,'The Arborage'!$A$2:$AV$126,(COLUMN('The Arborage'!$AE$1)),FALSE)</f>
        <v>7252848</v>
      </c>
      <c r="E116" s="351">
        <f>VLOOKUP(A116,'The Arborage'!$A$2:$AV$126,(COLUMN('The Arborage'!AV91)),FALSE)</f>
        <v>0</v>
      </c>
      <c r="F116" s="351">
        <f t="shared" si="5"/>
        <v>7252848</v>
      </c>
      <c r="G116" s="351">
        <f>'The Arborage'!AD104</f>
        <v>0</v>
      </c>
      <c r="H116" s="334">
        <f t="shared" si="6"/>
        <v>8413300</v>
      </c>
      <c r="I116" s="351"/>
      <c r="M116" s="353" t="s">
        <v>647</v>
      </c>
      <c r="N116" s="354"/>
    </row>
    <row r="117" spans="1:14" hidden="1" x14ac:dyDescent="0.35">
      <c r="A117" s="364" t="str">
        <f>'The Arborage'!A105</f>
        <v>B-B4-L7</v>
      </c>
      <c r="B117" s="351">
        <f>'The Arborage'!S105</f>
        <v>212</v>
      </c>
      <c r="C117" s="351">
        <f>'The Arborage'!T105</f>
        <v>0</v>
      </c>
      <c r="D117" s="351">
        <f>VLOOKUP(A117,'The Arborage'!$A$2:$AV$126,(COLUMN('The Arborage'!$AE$1)),FALSE)</f>
        <v>8165816</v>
      </c>
      <c r="E117" s="351">
        <f>VLOOKUP(A117,'The Arborage'!$A$2:$AV$126,(COLUMN('The Arborage'!AV92)),FALSE)</f>
        <v>0</v>
      </c>
      <c r="F117" s="351">
        <f t="shared" si="5"/>
        <v>8165816</v>
      </c>
      <c r="G117" s="351">
        <f>'The Arborage'!AD105</f>
        <v>0</v>
      </c>
      <c r="H117" s="334">
        <f t="shared" si="6"/>
        <v>9472300</v>
      </c>
      <c r="I117" s="351"/>
      <c r="M117" s="353" t="s">
        <v>648</v>
      </c>
      <c r="N117" s="354"/>
    </row>
    <row r="118" spans="1:14" x14ac:dyDescent="0.35">
      <c r="A118" s="364" t="str">
        <f>'The Arborage'!A106</f>
        <v>B-B4-L8</v>
      </c>
      <c r="B118" s="351">
        <f>'The Arborage'!S106</f>
        <v>219</v>
      </c>
      <c r="C118" s="351">
        <f>'The Arborage'!T106</f>
        <v>0</v>
      </c>
      <c r="D118" s="351">
        <f>VLOOKUP(A118,'The Arborage'!$A$2:$AV$126,(COLUMN('The Arborage'!$AE$1)),FALSE)</f>
        <v>7353582</v>
      </c>
      <c r="E118" s="351">
        <f>VLOOKUP(A118,'The Arborage'!$A$2:$AV$126,(COLUMN('The Arborage'!AV93)),FALSE)</f>
        <v>0</v>
      </c>
      <c r="F118" s="351">
        <f t="shared" si="5"/>
        <v>7353582</v>
      </c>
      <c r="G118" s="351">
        <f>'The Arborage'!AD106</f>
        <v>0</v>
      </c>
      <c r="H118" s="334">
        <f t="shared" si="6"/>
        <v>8530200</v>
      </c>
      <c r="I118" s="351"/>
      <c r="M118" s="353" t="s">
        <v>647</v>
      </c>
      <c r="N118" s="354"/>
    </row>
    <row r="119" spans="1:14" hidden="1" x14ac:dyDescent="0.35">
      <c r="A119" s="364" t="str">
        <f>'The Arborage'!A107</f>
        <v>B-B4-L9</v>
      </c>
      <c r="B119" s="351">
        <f>'The Arborage'!S107</f>
        <v>212</v>
      </c>
      <c r="C119" s="351">
        <f>'The Arborage'!T107</f>
        <v>0</v>
      </c>
      <c r="D119" s="351">
        <f>VLOOKUP(A119,'The Arborage'!$A$2:$AV$126,(COLUMN('The Arborage'!$AE$1)),FALSE)</f>
        <v>8165816</v>
      </c>
      <c r="E119" s="351">
        <f>VLOOKUP(A119,'The Arborage'!$A$2:$AV$126,(COLUMN('The Arborage'!AV94)),FALSE)</f>
        <v>0</v>
      </c>
      <c r="F119" s="351">
        <f t="shared" si="5"/>
        <v>8165816</v>
      </c>
      <c r="G119" s="351">
        <f>'The Arborage'!AD107</f>
        <v>0</v>
      </c>
      <c r="H119" s="334">
        <f t="shared" si="6"/>
        <v>9472300</v>
      </c>
      <c r="I119" s="351"/>
      <c r="M119" s="353" t="s">
        <v>648</v>
      </c>
      <c r="N119" s="354"/>
    </row>
    <row r="120" spans="1:14" x14ac:dyDescent="0.35">
      <c r="A120" s="364" t="str">
        <f>'The Arborage'!A108</f>
        <v>B-B4-L10</v>
      </c>
      <c r="B120" s="351">
        <f>'The Arborage'!S108</f>
        <v>226</v>
      </c>
      <c r="C120" s="351">
        <f>'The Arborage'!T108</f>
        <v>0</v>
      </c>
      <c r="D120" s="351">
        <f>VLOOKUP(A120,'The Arborage'!$A$2:$AV$126,(COLUMN('The Arborage'!$AE$1)),FALSE)</f>
        <v>7588628</v>
      </c>
      <c r="E120" s="351">
        <f>VLOOKUP(A120,'The Arborage'!$A$2:$AV$126,(COLUMN('The Arborage'!AV95)),FALSE)</f>
        <v>0</v>
      </c>
      <c r="F120" s="351">
        <f t="shared" si="5"/>
        <v>7588628</v>
      </c>
      <c r="G120" s="351">
        <f>'The Arborage'!AD108</f>
        <v>0</v>
      </c>
      <c r="H120" s="334">
        <f t="shared" si="6"/>
        <v>8802800</v>
      </c>
      <c r="I120" s="351"/>
      <c r="M120" s="353" t="s">
        <v>647</v>
      </c>
      <c r="N120" s="354"/>
    </row>
    <row r="121" spans="1:14" x14ac:dyDescent="0.35">
      <c r="A121" s="364" t="str">
        <f>'The Arborage'!A109</f>
        <v>B-B4-L11</v>
      </c>
      <c r="B121" s="351">
        <f>'The Arborage'!S109</f>
        <v>212</v>
      </c>
      <c r="C121" s="351">
        <f>'The Arborage'!T109</f>
        <v>0</v>
      </c>
      <c r="D121" s="351">
        <f>VLOOKUP(A121,'The Arborage'!$A$2:$AV$126,(COLUMN('The Arborage'!$AE$1)),FALSE)</f>
        <v>8165816</v>
      </c>
      <c r="E121" s="351">
        <f>VLOOKUP(A121,'The Arborage'!$A$2:$AV$126,(COLUMN('The Arborage'!AV96)),FALSE)</f>
        <v>0</v>
      </c>
      <c r="F121" s="351">
        <f t="shared" si="5"/>
        <v>8165816</v>
      </c>
      <c r="G121" s="351">
        <f>'The Arborage'!AD109</f>
        <v>0</v>
      </c>
      <c r="H121" s="334">
        <f t="shared" si="6"/>
        <v>9472300</v>
      </c>
      <c r="I121" s="351"/>
      <c r="M121" s="353" t="s">
        <v>647</v>
      </c>
      <c r="N121" s="354"/>
    </row>
    <row r="122" spans="1:14" x14ac:dyDescent="0.35">
      <c r="A122" s="364" t="str">
        <f>'The Arborage'!A110</f>
        <v>B-B4-L12</v>
      </c>
      <c r="B122" s="351">
        <f>'The Arborage'!S110</f>
        <v>233</v>
      </c>
      <c r="C122" s="351">
        <f>'The Arborage'!T110</f>
        <v>0</v>
      </c>
      <c r="D122" s="351">
        <f>VLOOKUP(A122,'The Arborage'!$A$2:$AV$126,(COLUMN('The Arborage'!$AE$1)),FALSE)</f>
        <v>7823674</v>
      </c>
      <c r="E122" s="351">
        <f>VLOOKUP(A122,'The Arborage'!$A$2:$AV$126,(COLUMN('The Arborage'!AV97)),FALSE)</f>
        <v>0</v>
      </c>
      <c r="F122" s="351">
        <f t="shared" si="5"/>
        <v>7823674</v>
      </c>
      <c r="G122" s="351">
        <f>'The Arborage'!AD110</f>
        <v>0</v>
      </c>
      <c r="H122" s="334">
        <f t="shared" si="6"/>
        <v>9075500</v>
      </c>
      <c r="I122" s="351"/>
      <c r="M122" s="353" t="s">
        <v>647</v>
      </c>
      <c r="N122" s="354"/>
    </row>
    <row r="123" spans="1:14" x14ac:dyDescent="0.35">
      <c r="A123" s="364" t="str">
        <f>'The Arborage'!A111</f>
        <v>B-B4-L13</v>
      </c>
      <c r="B123" s="351">
        <f>'The Arborage'!S111</f>
        <v>212</v>
      </c>
      <c r="C123" s="351">
        <f>'The Arborage'!T111</f>
        <v>0</v>
      </c>
      <c r="D123" s="351">
        <f>VLOOKUP(A123,'The Arborage'!$A$2:$AV$126,(COLUMN('The Arborage'!$AE$1)),FALSE)</f>
        <v>8165816</v>
      </c>
      <c r="E123" s="351">
        <f>VLOOKUP(A123,'The Arborage'!$A$2:$AV$126,(COLUMN('The Arborage'!AV98)),FALSE)</f>
        <v>0</v>
      </c>
      <c r="F123" s="351">
        <f t="shared" si="5"/>
        <v>8165816</v>
      </c>
      <c r="G123" s="351">
        <f>'The Arborage'!AD111</f>
        <v>0</v>
      </c>
      <c r="H123" s="334">
        <f t="shared" si="6"/>
        <v>9472300</v>
      </c>
      <c r="I123" s="351"/>
      <c r="M123" s="353" t="s">
        <v>647</v>
      </c>
      <c r="N123" s="354"/>
    </row>
    <row r="124" spans="1:14" x14ac:dyDescent="0.35">
      <c r="A124" s="364" t="str">
        <f>'The Arborage'!A112</f>
        <v>B-B4-L14</v>
      </c>
      <c r="B124" s="351">
        <f>'The Arborage'!S112</f>
        <v>240</v>
      </c>
      <c r="C124" s="351">
        <f>'The Arborage'!T112</f>
        <v>0</v>
      </c>
      <c r="D124" s="351">
        <f>VLOOKUP(A124,'The Arborage'!$A$2:$AV$126,(COLUMN('The Arborage'!$AE$1)),FALSE)</f>
        <v>8058720</v>
      </c>
      <c r="E124" s="351">
        <f>VLOOKUP(A124,'The Arborage'!$A$2:$AV$126,(COLUMN('The Arborage'!AV99)),FALSE)</f>
        <v>0</v>
      </c>
      <c r="F124" s="351">
        <f t="shared" si="5"/>
        <v>8058720</v>
      </c>
      <c r="G124" s="351">
        <f>'The Arborage'!AD112</f>
        <v>0</v>
      </c>
      <c r="H124" s="334">
        <f t="shared" si="6"/>
        <v>9348100</v>
      </c>
      <c r="I124" s="351"/>
      <c r="M124" s="353" t="s">
        <v>647</v>
      </c>
      <c r="N124" s="354"/>
    </row>
    <row r="125" spans="1:14" x14ac:dyDescent="0.35">
      <c r="A125" s="364" t="str">
        <f>'The Arborage'!A113</f>
        <v>B-B4-L15</v>
      </c>
      <c r="B125" s="351">
        <f>'The Arborage'!S113</f>
        <v>213</v>
      </c>
      <c r="C125" s="351">
        <f>'The Arborage'!T113</f>
        <v>0</v>
      </c>
      <c r="D125" s="351">
        <f>VLOOKUP(A125,'The Arborage'!$A$2:$AV$126,(COLUMN('The Arborage'!$AE$1)),FALSE)</f>
        <v>8204334</v>
      </c>
      <c r="E125" s="351">
        <f>VLOOKUP(A125,'The Arborage'!$A$2:$AV$126,(COLUMN('The Arborage'!AV100)),FALSE)</f>
        <v>0</v>
      </c>
      <c r="F125" s="351">
        <f t="shared" si="5"/>
        <v>8204334</v>
      </c>
      <c r="G125" s="351">
        <f>'The Arborage'!AD113</f>
        <v>0</v>
      </c>
      <c r="H125" s="334">
        <f t="shared" si="6"/>
        <v>9517000</v>
      </c>
      <c r="I125" s="351"/>
      <c r="M125" s="353" t="s">
        <v>647</v>
      </c>
      <c r="N125" s="354"/>
    </row>
    <row r="126" spans="1:14" x14ac:dyDescent="0.35">
      <c r="A126" s="364" t="str">
        <f>'The Arborage'!A114</f>
        <v>B-B4-L16</v>
      </c>
      <c r="B126" s="351">
        <f>'The Arborage'!S114</f>
        <v>247</v>
      </c>
      <c r="C126" s="351">
        <f>'The Arborage'!T114</f>
        <v>0</v>
      </c>
      <c r="D126" s="351">
        <f>VLOOKUP(A126,'The Arborage'!$A$2:$AV$126,(COLUMN('The Arborage'!$AE$1)),FALSE)</f>
        <v>8293766</v>
      </c>
      <c r="E126" s="351">
        <f>VLOOKUP(A126,'The Arborage'!$A$2:$AV$126,(COLUMN('The Arborage'!AV101)),FALSE)</f>
        <v>0</v>
      </c>
      <c r="F126" s="351">
        <f t="shared" si="5"/>
        <v>8293766</v>
      </c>
      <c r="G126" s="351">
        <f>'The Arborage'!AD114</f>
        <v>0</v>
      </c>
      <c r="H126" s="334">
        <f t="shared" si="6"/>
        <v>9620800</v>
      </c>
      <c r="I126" s="351"/>
      <c r="M126" s="353" t="s">
        <v>647</v>
      </c>
      <c r="N126" s="354"/>
    </row>
    <row r="127" spans="1:14" hidden="1" x14ac:dyDescent="0.35">
      <c r="A127" s="364" t="str">
        <f>'The Arborage'!A115</f>
        <v>B-B4-L17</v>
      </c>
      <c r="B127" s="351">
        <f>'The Arborage'!S115</f>
        <v>336</v>
      </c>
      <c r="C127" s="351">
        <f>'The Arborage'!T115</f>
        <v>0</v>
      </c>
      <c r="D127" s="351">
        <f>VLOOKUP(A127,'The Arborage'!$A$2:$AV$126,(COLUMN('The Arborage'!$AE$1)),FALSE)</f>
        <v>14050848</v>
      </c>
      <c r="E127" s="351">
        <f>VLOOKUP(A127,'The Arborage'!$A$2:$AV$126,(COLUMN('The Arborage'!AV102)),FALSE)</f>
        <v>0</v>
      </c>
      <c r="F127" s="351">
        <f t="shared" si="5"/>
        <v>14050848</v>
      </c>
      <c r="G127" s="351">
        <f>'The Arborage'!AD115</f>
        <v>0</v>
      </c>
      <c r="H127" s="334">
        <f t="shared" si="6"/>
        <v>16299000</v>
      </c>
      <c r="I127" s="351"/>
      <c r="M127" s="353" t="s">
        <v>648</v>
      </c>
      <c r="N127" s="354"/>
    </row>
    <row r="128" spans="1:14" x14ac:dyDescent="0.35">
      <c r="A128" s="364" t="str">
        <f>'The Arborage'!A116</f>
        <v>B-B4-L18</v>
      </c>
      <c r="B128" s="351">
        <f>'The Arborage'!S116</f>
        <v>254</v>
      </c>
      <c r="C128" s="351">
        <f>'The Arborage'!T116</f>
        <v>0</v>
      </c>
      <c r="D128" s="351">
        <f>VLOOKUP(A128,'The Arborage'!$A$2:$AV$126,(COLUMN('The Arborage'!$AE$1)),FALSE)</f>
        <v>8528812</v>
      </c>
      <c r="E128" s="351">
        <f>VLOOKUP(A128,'The Arborage'!$A$2:$AV$126,(COLUMN('The Arborage'!AV103)),FALSE)</f>
        <v>0</v>
      </c>
      <c r="F128" s="351">
        <f t="shared" si="5"/>
        <v>8528812</v>
      </c>
      <c r="G128" s="351">
        <f>'The Arborage'!AD116</f>
        <v>0</v>
      </c>
      <c r="H128" s="334">
        <f t="shared" si="6"/>
        <v>9893400</v>
      </c>
      <c r="I128" s="351"/>
      <c r="M128" s="353" t="s">
        <v>647</v>
      </c>
      <c r="N128" s="354"/>
    </row>
    <row r="129" spans="1:14" x14ac:dyDescent="0.35">
      <c r="A129" s="364" t="str">
        <f>'The Arborage'!A117</f>
        <v>B-B4-L19</v>
      </c>
      <c r="B129" s="351">
        <f>'The Arborage'!S117</f>
        <v>280</v>
      </c>
      <c r="C129" s="351">
        <f>'The Arborage'!T117</f>
        <v>0</v>
      </c>
      <c r="D129" s="351">
        <f>VLOOKUP(A129,'The Arborage'!$A$2:$AV$126,(COLUMN('The Arborage'!$AE$1)),FALSE)</f>
        <v>10325840</v>
      </c>
      <c r="E129" s="351">
        <f>VLOOKUP(A129,'The Arborage'!$A$2:$AV$126,(COLUMN('The Arborage'!AV104)),FALSE)</f>
        <v>0</v>
      </c>
      <c r="F129" s="351">
        <f t="shared" si="5"/>
        <v>10325840</v>
      </c>
      <c r="G129" s="351">
        <f>'The Arborage'!AD117</f>
        <v>0</v>
      </c>
      <c r="H129" s="334">
        <f t="shared" si="6"/>
        <v>11978000</v>
      </c>
      <c r="I129" s="351"/>
      <c r="M129" s="353" t="s">
        <v>647</v>
      </c>
      <c r="N129" s="354"/>
    </row>
    <row r="130" spans="1:14" hidden="1" x14ac:dyDescent="0.35">
      <c r="A130" s="364" t="str">
        <f>'The Arborage'!A118</f>
        <v>B-B5-L2</v>
      </c>
      <c r="B130" s="351">
        <f>'The Arborage'!S118</f>
        <v>373</v>
      </c>
      <c r="C130" s="351">
        <f>'The Arborage'!T118</f>
        <v>0</v>
      </c>
      <c r="D130" s="351">
        <f>VLOOKUP(A130,'The Arborage'!$A$2:$AV$126,(COLUMN('The Arborage'!$AE$1)),FALSE)</f>
        <v>13509314</v>
      </c>
      <c r="E130" s="351">
        <f>VLOOKUP(A130,'The Arborage'!$A$2:$AV$126,(COLUMN('The Arborage'!AV105)),FALSE)</f>
        <v>0</v>
      </c>
      <c r="F130" s="351">
        <f t="shared" si="5"/>
        <v>13509314</v>
      </c>
      <c r="G130" s="351">
        <f>'The Arborage'!AD118</f>
        <v>0</v>
      </c>
      <c r="H130" s="334">
        <f t="shared" si="6"/>
        <v>15670800</v>
      </c>
      <c r="I130" s="351"/>
      <c r="M130" s="353" t="s">
        <v>648</v>
      </c>
      <c r="N130" s="354"/>
    </row>
    <row r="131" spans="1:14" x14ac:dyDescent="0.35">
      <c r="A131" s="364" t="str">
        <f>'The Arborage'!A119</f>
        <v>B-B5-L3</v>
      </c>
      <c r="B131" s="351">
        <f>'The Arborage'!S119</f>
        <v>235</v>
      </c>
      <c r="C131" s="351">
        <f>'The Arborage'!T119</f>
        <v>0</v>
      </c>
      <c r="D131" s="351">
        <f>VLOOKUP(A131,'The Arborage'!$A$2:$AV$126,(COLUMN('The Arborage'!$AE$1)),FALSE)</f>
        <v>8511230</v>
      </c>
      <c r="E131" s="351">
        <f>VLOOKUP(A131,'The Arborage'!$A$2:$AV$126,(COLUMN('The Arborage'!AV106)),FALSE)</f>
        <v>0</v>
      </c>
      <c r="F131" s="351">
        <f t="shared" si="5"/>
        <v>8511230</v>
      </c>
      <c r="G131" s="351">
        <f>'The Arborage'!AD119</f>
        <v>0</v>
      </c>
      <c r="H131" s="334">
        <f t="shared" si="6"/>
        <v>9873000</v>
      </c>
      <c r="I131" s="351"/>
      <c r="M131" s="353" t="s">
        <v>647</v>
      </c>
      <c r="N131" s="354"/>
    </row>
    <row r="132" spans="1:14" hidden="1" x14ac:dyDescent="0.35">
      <c r="A132" s="364" t="str">
        <f>'The Arborage'!A120</f>
        <v>B-B5-L4</v>
      </c>
      <c r="B132" s="351">
        <f>'The Arborage'!S120</f>
        <v>238</v>
      </c>
      <c r="C132" s="351">
        <f>'The Arborage'!T120</f>
        <v>0</v>
      </c>
      <c r="D132" s="351">
        <f>VLOOKUP(A132,'The Arborage'!$A$2:$AV$126,(COLUMN('The Arborage'!$AE$1)),FALSE)</f>
        <v>8619884</v>
      </c>
      <c r="E132" s="351">
        <f>VLOOKUP(A132,'The Arborage'!$A$2:$AV$126,(COLUMN('The Arborage'!AV107)),FALSE)</f>
        <v>0</v>
      </c>
      <c r="F132" s="351">
        <f t="shared" si="5"/>
        <v>8619884</v>
      </c>
      <c r="G132" s="351">
        <f>'The Arborage'!AD120</f>
        <v>0</v>
      </c>
      <c r="H132" s="334">
        <f t="shared" si="6"/>
        <v>9999100</v>
      </c>
      <c r="I132" s="351"/>
      <c r="M132" s="353" t="s">
        <v>648</v>
      </c>
      <c r="N132" s="354"/>
    </row>
    <row r="133" spans="1:14" hidden="1" x14ac:dyDescent="0.35">
      <c r="A133" s="364" t="str">
        <f>'The Arborage'!A121</f>
        <v>B-B5-L5</v>
      </c>
      <c r="B133" s="351">
        <f>'The Arborage'!S121</f>
        <v>233</v>
      </c>
      <c r="C133" s="351">
        <f>'The Arborage'!T121</f>
        <v>0</v>
      </c>
      <c r="D133" s="351">
        <f>VLOOKUP(A133,'The Arborage'!$A$2:$AV$126,(COLUMN('The Arborage'!$AE$1)),FALSE)</f>
        <v>8438794</v>
      </c>
      <c r="E133" s="351">
        <f>VLOOKUP(A133,'The Arborage'!$A$2:$AV$126,(COLUMN('The Arborage'!AV108)),FALSE)</f>
        <v>0</v>
      </c>
      <c r="F133" s="351">
        <f t="shared" si="5"/>
        <v>8438794</v>
      </c>
      <c r="G133" s="351">
        <f>'The Arborage'!AD121</f>
        <v>0</v>
      </c>
      <c r="H133" s="334">
        <f t="shared" si="6"/>
        <v>9789000</v>
      </c>
      <c r="I133" s="351"/>
      <c r="M133" s="353" t="s">
        <v>648</v>
      </c>
      <c r="N133" s="354"/>
    </row>
    <row r="134" spans="1:14" hidden="1" x14ac:dyDescent="0.35">
      <c r="A134" s="364" t="str">
        <f>'The Arborage'!A122</f>
        <v>B-B5-L6</v>
      </c>
      <c r="B134" s="351">
        <f>'The Arborage'!S122</f>
        <v>228</v>
      </c>
      <c r="C134" s="351">
        <f>'The Arborage'!T122</f>
        <v>0</v>
      </c>
      <c r="D134" s="351">
        <f>VLOOKUP(A134,'The Arborage'!$A$2:$AV$126,(COLUMN('The Arborage'!$AE$1)),FALSE)</f>
        <v>6378984</v>
      </c>
      <c r="E134" s="351">
        <f>VLOOKUP(A134,'The Arborage'!$A$2:$AV$126,(COLUMN('The Arborage'!AV109)),FALSE)</f>
        <v>0</v>
      </c>
      <c r="F134" s="351">
        <f t="shared" si="5"/>
        <v>6378984</v>
      </c>
      <c r="G134" s="351">
        <f>'The Arborage'!AD122</f>
        <v>0</v>
      </c>
      <c r="H134" s="334">
        <f t="shared" si="6"/>
        <v>7399600</v>
      </c>
      <c r="I134" s="351"/>
      <c r="M134" s="353" t="s">
        <v>648</v>
      </c>
      <c r="N134" s="354"/>
    </row>
    <row r="135" spans="1:14" x14ac:dyDescent="0.35">
      <c r="A135" s="364" t="str">
        <f>'The Arborage'!A123</f>
        <v>B-B5-L7</v>
      </c>
      <c r="B135" s="351">
        <f>'The Arborage'!S123</f>
        <v>224</v>
      </c>
      <c r="C135" s="351">
        <f>'The Arborage'!T123</f>
        <v>0</v>
      </c>
      <c r="D135" s="351">
        <f>VLOOKUP(A135,'The Arborage'!$A$2:$AV$126,(COLUMN('The Arborage'!$AE$1)),FALSE)</f>
        <v>7743232</v>
      </c>
      <c r="E135" s="351">
        <f>VLOOKUP(A135,'The Arborage'!$A$2:$AV$126,(COLUMN('The Arborage'!AV110)),FALSE)</f>
        <v>0</v>
      </c>
      <c r="F135" s="351">
        <f t="shared" si="5"/>
        <v>7743232</v>
      </c>
      <c r="G135" s="351">
        <f>'The Arborage'!AD123</f>
        <v>0</v>
      </c>
      <c r="H135" s="334">
        <f t="shared" si="6"/>
        <v>8982100</v>
      </c>
      <c r="I135" s="351"/>
      <c r="M135" s="353" t="s">
        <v>647</v>
      </c>
      <c r="N135" s="354"/>
    </row>
    <row r="136" spans="1:14" x14ac:dyDescent="0.35">
      <c r="A136" s="364" t="str">
        <f>'The Arborage'!A124</f>
        <v>B-B5-L8</v>
      </c>
      <c r="B136" s="351">
        <f>'The Arborage'!S124</f>
        <v>341</v>
      </c>
      <c r="C136" s="351">
        <f>'The Arborage'!T124</f>
        <v>0</v>
      </c>
      <c r="D136" s="351">
        <f>VLOOKUP(A136,'The Arborage'!$A$2:$AV$126,(COLUMN('The Arborage'!$AE$1)),FALSE)</f>
        <v>11787688</v>
      </c>
      <c r="E136" s="351">
        <f>VLOOKUP(A136,'The Arborage'!$A$2:$AV$126,(COLUMN('The Arborage'!AV111)),FALSE)</f>
        <v>0</v>
      </c>
      <c r="F136" s="351">
        <f t="shared" si="5"/>
        <v>11787688</v>
      </c>
      <c r="G136" s="351">
        <f>'The Arborage'!AD124</f>
        <v>0</v>
      </c>
      <c r="H136" s="334">
        <f t="shared" si="6"/>
        <v>13673700</v>
      </c>
      <c r="I136" s="351"/>
      <c r="M136" s="353" t="s">
        <v>647</v>
      </c>
      <c r="N136" s="354"/>
    </row>
    <row r="137" spans="1:14" ht="14.15" customHeight="1" x14ac:dyDescent="0.35">
      <c r="A137" s="364" t="str">
        <f>'The Arborage'!A125</f>
        <v>B-B5-L9</v>
      </c>
      <c r="B137" s="351">
        <f>'The Arborage'!S125</f>
        <v>307</v>
      </c>
      <c r="C137" s="351">
        <f>'The Arborage'!T125</f>
        <v>0</v>
      </c>
      <c r="D137" s="351">
        <f>VLOOKUP(A137,'The Arborage'!$A$2:$AV$126,(COLUMN('The Arborage'!$AE$1)),FALSE)</f>
        <v>10612376</v>
      </c>
      <c r="E137" s="351">
        <f>VLOOKUP(A137,'The Arborage'!$A$2:$AV$126,(COLUMN('The Arborage'!AV112)),FALSE)</f>
        <v>0</v>
      </c>
      <c r="F137" s="351">
        <f t="shared" si="5"/>
        <v>10612376</v>
      </c>
      <c r="G137" s="351">
        <f>'The Arborage'!AD125</f>
        <v>0</v>
      </c>
      <c r="H137" s="334">
        <f t="shared" si="6"/>
        <v>12310400</v>
      </c>
      <c r="I137" s="351"/>
      <c r="M137" s="353" t="s">
        <v>647</v>
      </c>
      <c r="N137" s="354"/>
    </row>
    <row r="138" spans="1:14" ht="15" thickBot="1" x14ac:dyDescent="0.4">
      <c r="A138" s="364" t="str">
        <f>'The Arborage'!A126</f>
        <v>B-B5-L10</v>
      </c>
      <c r="B138" s="351">
        <f>'The Arborage'!S126</f>
        <v>334</v>
      </c>
      <c r="C138" s="351">
        <f>'The Arborage'!T126</f>
        <v>0</v>
      </c>
      <c r="D138" s="351">
        <f>VLOOKUP(A138,'The Arborage'!$A$2:$AV$126,(COLUMN('The Arborage'!$AE$1)),FALSE)</f>
        <v>9344652</v>
      </c>
      <c r="E138" s="351">
        <f>VLOOKUP(A138,'The Arborage'!$A$2:$AV$126,(COLUMN('The Arborage'!AV113)),FALSE)</f>
        <v>0</v>
      </c>
      <c r="F138" s="351">
        <f t="shared" si="5"/>
        <v>9344652</v>
      </c>
      <c r="G138" s="351">
        <f>'The Arborage'!AD126</f>
        <v>0</v>
      </c>
      <c r="H138" s="334">
        <f t="shared" si="6"/>
        <v>10839800</v>
      </c>
      <c r="I138" s="351"/>
      <c r="M138" s="353" t="s">
        <v>647</v>
      </c>
      <c r="N138" s="354"/>
    </row>
    <row r="139" spans="1:14" x14ac:dyDescent="0.35">
      <c r="A139" s="321" t="s">
        <v>644</v>
      </c>
      <c r="B139" s="322"/>
      <c r="C139" s="322"/>
      <c r="D139" s="322"/>
      <c r="E139" s="322"/>
      <c r="F139" s="322"/>
      <c r="G139" s="322"/>
      <c r="H139" s="322"/>
      <c r="I139" s="323" t="s">
        <v>640</v>
      </c>
      <c r="J139" s="324"/>
      <c r="K139" s="324"/>
      <c r="L139" s="324"/>
      <c r="M139" s="325"/>
      <c r="N139" s="326"/>
    </row>
    <row r="140" spans="1:14" s="330" customFormat="1" x14ac:dyDescent="0.35">
      <c r="A140" s="61" t="s">
        <v>616</v>
      </c>
      <c r="B140" s="327" t="s">
        <v>574</v>
      </c>
      <c r="C140" s="327" t="s">
        <v>617</v>
      </c>
      <c r="D140" s="327" t="s">
        <v>31</v>
      </c>
      <c r="E140" s="327" t="s">
        <v>48</v>
      </c>
      <c r="F140" s="327" t="s">
        <v>618</v>
      </c>
      <c r="G140" s="328" t="s">
        <v>573</v>
      </c>
      <c r="H140" s="329" t="s">
        <v>619</v>
      </c>
      <c r="I140" s="327" t="s">
        <v>618</v>
      </c>
      <c r="M140" s="328" t="s">
        <v>21</v>
      </c>
      <c r="N140" s="331"/>
    </row>
    <row r="141" spans="1:14" ht="15" hidden="1" customHeight="1" x14ac:dyDescent="0.35">
      <c r="A141" s="332" t="str">
        <f>'Sunshine Place'!A2</f>
        <v>B1 L11</v>
      </c>
      <c r="B141" s="333">
        <f>'Sunshine Place'!S2</f>
        <v>428</v>
      </c>
      <c r="C141" s="333">
        <f>'Sunshine Place'!T2</f>
        <v>0</v>
      </c>
      <c r="D141" s="333">
        <f>VLOOKUP(A141,'Sunshine Place'!$A$2:$AE$15,COLUMN('Sunshine Place'!$AE$1),FALSE)</f>
        <v>7571320</v>
      </c>
      <c r="E141" s="333">
        <f>VLOOKUP(A141,'Sunshine Place'!$A$2:$AV$15,COLUMN('Sunshine Place'!$AV$1),FALSE)</f>
        <v>0</v>
      </c>
      <c r="F141" s="333">
        <f>'Sunshine Place'!AE2+'Sunshine Place'!AV2</f>
        <v>7571320</v>
      </c>
      <c r="G141" s="333">
        <f>'Sunshine Place'!AD2</f>
        <v>0</v>
      </c>
      <c r="H141" s="334">
        <f>ROUND((F141*1.16)+G141,-2)</f>
        <v>8782700</v>
      </c>
      <c r="I141" s="333">
        <v>7571320</v>
      </c>
      <c r="M141" s="335" t="s">
        <v>648</v>
      </c>
      <c r="N141" s="336"/>
    </row>
    <row r="142" spans="1:14" ht="15" hidden="1" customHeight="1" x14ac:dyDescent="0.35">
      <c r="A142" s="332" t="str">
        <f>'Sunshine Place'!A3</f>
        <v>B1 L23</v>
      </c>
      <c r="B142" s="333">
        <f>'Sunshine Place'!S3</f>
        <v>421</v>
      </c>
      <c r="C142" s="333">
        <f>'Sunshine Place'!T3</f>
        <v>0</v>
      </c>
      <c r="D142" s="333">
        <f>VLOOKUP(A142,'Sunshine Place'!$A$2:$AE$15,COLUMN('Sunshine Place'!$AE$1),FALSE)</f>
        <v>7060170</v>
      </c>
      <c r="E142" s="333">
        <f>VLOOKUP(A142,'Sunshine Place'!$A$2:$AV$15,COLUMN('Sunshine Place'!$AV$1),FALSE)</f>
        <v>0</v>
      </c>
      <c r="F142" s="333">
        <f>'Sunshine Place'!AE3+'Sunshine Place'!AV3</f>
        <v>7060170</v>
      </c>
      <c r="G142" s="333">
        <f>'Sunshine Place'!AD3</f>
        <v>0</v>
      </c>
      <c r="H142" s="334">
        <f t="shared" ref="H142:H154" si="7">ROUND((F142*1.16)+G142,-2)</f>
        <v>8189800</v>
      </c>
      <c r="I142" s="333">
        <v>7060170</v>
      </c>
      <c r="M142" s="335" t="s">
        <v>648</v>
      </c>
      <c r="N142" s="336"/>
    </row>
    <row r="143" spans="1:14" ht="15" hidden="1" customHeight="1" x14ac:dyDescent="0.35">
      <c r="A143" s="332" t="str">
        <f>'Sunshine Place'!A4</f>
        <v>B1 L9</v>
      </c>
      <c r="B143" s="333">
        <f>'Sunshine Place'!S4</f>
        <v>386</v>
      </c>
      <c r="C143" s="333">
        <f>'Sunshine Place'!T4</f>
        <v>0</v>
      </c>
      <c r="D143" s="333">
        <f>VLOOKUP(A143,'Sunshine Place'!$A$2:$AE$15,COLUMN('Sunshine Place'!$AE$1),FALSE)</f>
        <v>7191180</v>
      </c>
      <c r="E143" s="333">
        <f>VLOOKUP(A143,'Sunshine Place'!$A$2:$AV$15,COLUMN('Sunshine Place'!$AV$1),FALSE)</f>
        <v>0</v>
      </c>
      <c r="F143" s="333">
        <f>'Sunshine Place'!AE4+'Sunshine Place'!AV4</f>
        <v>7191180</v>
      </c>
      <c r="G143" s="333">
        <f>'Sunshine Place'!AD4</f>
        <v>0</v>
      </c>
      <c r="H143" s="334">
        <f t="shared" si="7"/>
        <v>8341800</v>
      </c>
      <c r="I143" s="333">
        <v>7191180</v>
      </c>
      <c r="M143" s="335" t="s">
        <v>648</v>
      </c>
      <c r="N143" s="336"/>
    </row>
    <row r="144" spans="1:14" x14ac:dyDescent="0.35">
      <c r="A144" s="337" t="str">
        <f>'Sunshine Place'!A5</f>
        <v>B15 L1</v>
      </c>
      <c r="B144" s="333">
        <f>'Sunshine Place'!S5</f>
        <v>734</v>
      </c>
      <c r="C144" s="333">
        <f>'Sunshine Place'!T5</f>
        <v>0</v>
      </c>
      <c r="D144" s="333">
        <f>VLOOKUP(A144,'[5]2-Lot Tagging'!$DZ$14:$EA$109,2,FALSE)</f>
        <v>21340000</v>
      </c>
      <c r="E144" s="333">
        <f>VLOOKUP(A144,'Sunshine Place'!$A$2:$AV$15,COLUMN('Sunshine Place'!$AV$1),FALSE)</f>
        <v>0</v>
      </c>
      <c r="F144" s="333">
        <f>D144</f>
        <v>21340000</v>
      </c>
      <c r="G144" s="333">
        <f>'Sunshine Place'!AD5</f>
        <v>0</v>
      </c>
      <c r="H144" s="334">
        <f t="shared" si="7"/>
        <v>24754400</v>
      </c>
      <c r="I144" s="333">
        <v>12984460</v>
      </c>
      <c r="M144" s="335" t="s">
        <v>647</v>
      </c>
      <c r="N144" s="336"/>
    </row>
    <row r="145" spans="1:14" x14ac:dyDescent="0.35">
      <c r="A145" s="337" t="str">
        <f>'Sunshine Place'!A6</f>
        <v>B15 L3</v>
      </c>
      <c r="B145" s="333">
        <f>'Sunshine Place'!S6</f>
        <v>1001</v>
      </c>
      <c r="C145" s="333">
        <f>'Sunshine Place'!T6</f>
        <v>0</v>
      </c>
      <c r="D145" s="333">
        <f>VLOOKUP(A145,'[5]2-Lot Tagging'!$DZ$14:$EA$109,2,FALSE)</f>
        <v>30640000</v>
      </c>
      <c r="E145" s="333">
        <f>VLOOKUP(A145,'Sunshine Place'!$A$2:$AV$15,COLUMN('Sunshine Place'!$AV$1),FALSE)</f>
        <v>0</v>
      </c>
      <c r="F145" s="333">
        <f t="shared" ref="F145:F147" si="8">D145</f>
        <v>30640000</v>
      </c>
      <c r="G145" s="333">
        <f>'Sunshine Place'!AD6</f>
        <v>0</v>
      </c>
      <c r="H145" s="334">
        <f t="shared" si="7"/>
        <v>35542400</v>
      </c>
      <c r="I145" s="333">
        <v>18638620</v>
      </c>
      <c r="M145" s="335" t="s">
        <v>647</v>
      </c>
      <c r="N145" s="336"/>
    </row>
    <row r="146" spans="1:14" x14ac:dyDescent="0.35">
      <c r="A146" s="337" t="str">
        <f>'Sunshine Place'!A7</f>
        <v>B9 L5</v>
      </c>
      <c r="B146" s="333">
        <f>'Sunshine Place'!S7</f>
        <v>848</v>
      </c>
      <c r="C146" s="333">
        <f>'Sunshine Place'!T7</f>
        <v>0</v>
      </c>
      <c r="D146" s="333">
        <f>VLOOKUP(A146,'[5]2-Lot Tagging'!$DZ$14:$EA$109,2,FALSE)</f>
        <v>28550000</v>
      </c>
      <c r="E146" s="333">
        <f>VLOOKUP(A146,'Sunshine Place'!$A$2:$AV$15,COLUMN('Sunshine Place'!$AV$1),FALSE)</f>
        <v>0</v>
      </c>
      <c r="F146" s="333">
        <f t="shared" si="8"/>
        <v>28550000</v>
      </c>
      <c r="G146" s="333">
        <f>'Sunshine Place'!AD7</f>
        <v>0</v>
      </c>
      <c r="H146" s="334">
        <f t="shared" si="7"/>
        <v>33118000</v>
      </c>
      <c r="I146" s="333">
        <v>17375520</v>
      </c>
      <c r="M146" s="335" t="s">
        <v>647</v>
      </c>
      <c r="N146" s="336"/>
    </row>
    <row r="147" spans="1:14" x14ac:dyDescent="0.35">
      <c r="A147" s="337" t="str">
        <f>'Sunshine Place'!A8</f>
        <v>B9 L6</v>
      </c>
      <c r="B147" s="333">
        <f>'Sunshine Place'!S8</f>
        <v>604</v>
      </c>
      <c r="C147" s="333">
        <f>'Sunshine Place'!T8</f>
        <v>0</v>
      </c>
      <c r="D147" s="333">
        <f>VLOOKUP(A147,'[5]2-Lot Tagging'!$DZ$14:$EA$109,2,FALSE)</f>
        <v>20340000</v>
      </c>
      <c r="E147" s="333">
        <f>VLOOKUP(A147,'Sunshine Place'!$A$2:$AV$15,COLUMN('Sunshine Place'!$AV$1),FALSE)</f>
        <v>0</v>
      </c>
      <c r="F147" s="333">
        <f t="shared" si="8"/>
        <v>20340000</v>
      </c>
      <c r="G147" s="333">
        <f>'Sunshine Place'!AD8</f>
        <v>0</v>
      </c>
      <c r="H147" s="334">
        <f t="shared" si="7"/>
        <v>23594400</v>
      </c>
      <c r="I147" s="333">
        <v>12375960</v>
      </c>
      <c r="J147" s="1" t="s">
        <v>641</v>
      </c>
      <c r="K147" s="1">
        <f>(I144+I145+I146+I147+I148)/(B144+B145+B146+B147+B148)</f>
        <v>19842.960509554141</v>
      </c>
      <c r="L147" s="1" t="s">
        <v>643</v>
      </c>
      <c r="M147" s="335" t="s">
        <v>647</v>
      </c>
      <c r="N147" s="336"/>
    </row>
    <row r="148" spans="1:14" hidden="1" x14ac:dyDescent="0.35">
      <c r="A148" s="337" t="str">
        <f>'Sunshine Place'!A9</f>
        <v>B9 L9</v>
      </c>
      <c r="B148" s="333">
        <f>'Sunshine Place'!S9</f>
        <v>738</v>
      </c>
      <c r="C148" s="333">
        <f>'Sunshine Place'!T9</f>
        <v>0</v>
      </c>
      <c r="D148" s="333">
        <f>VLOOKUP(A148,'[5]2-Lot Tagging'!$DZ$14:$EA$109,2,FALSE)</f>
        <v>27100000</v>
      </c>
      <c r="E148" s="333">
        <f>VLOOKUP(A148,'Sunshine Place'!$A$2:$AV$15,COLUMN('Sunshine Place'!$AV$1),FALSE)</f>
        <v>0</v>
      </c>
      <c r="F148" s="333">
        <v>22615272</v>
      </c>
      <c r="G148" s="333">
        <f>'Sunshine Place'!AD9</f>
        <v>0</v>
      </c>
      <c r="H148" s="334">
        <f t="shared" si="7"/>
        <v>26233700</v>
      </c>
      <c r="I148" s="333">
        <v>16509060</v>
      </c>
      <c r="J148" s="1" t="s">
        <v>642</v>
      </c>
      <c r="K148" s="1">
        <f>(F144+F145+F146+F147+F148)/(B144+B145+B146+B147+B148)</f>
        <v>31461.215796178345</v>
      </c>
      <c r="L148" s="1">
        <f>(K148-K147)/K147</f>
        <v>0.58551017531028993</v>
      </c>
      <c r="M148" s="335" t="s">
        <v>648</v>
      </c>
      <c r="N148" s="336"/>
    </row>
    <row r="149" spans="1:14" x14ac:dyDescent="0.35">
      <c r="A149" s="337" t="str">
        <f>'Sunshine Place'!A10</f>
        <v>B4 L4</v>
      </c>
      <c r="B149" s="338">
        <f>'Sunshine Place'!S10</f>
        <v>461</v>
      </c>
      <c r="C149" s="338">
        <f>'Sunshine Place'!T10</f>
        <v>340</v>
      </c>
      <c r="D149" s="333">
        <f>VLOOKUP(A149,'[5]2-Lot Tagging'!$DZ$14:$EA$109,2,FALSE)</f>
        <v>14110000</v>
      </c>
      <c r="E149" s="333">
        <f>VLOOKUP(A149,'Sunshine Place'!$A$2:$AV$15,COLUMN('Sunshine Place'!$AV$1),FALSE)</f>
        <v>17343700</v>
      </c>
      <c r="F149" s="338">
        <f>D149+E149</f>
        <v>31453700</v>
      </c>
      <c r="G149" s="338">
        <f>'Sunshine Place'!AD10</f>
        <v>360000</v>
      </c>
      <c r="H149" s="339">
        <f t="shared" si="7"/>
        <v>36846300</v>
      </c>
      <c r="I149" s="338">
        <v>25932130</v>
      </c>
      <c r="J149" s="340"/>
      <c r="K149" s="340"/>
      <c r="L149" s="340"/>
      <c r="M149" s="335" t="s">
        <v>647</v>
      </c>
      <c r="N149" s="341"/>
    </row>
    <row r="150" spans="1:14" hidden="1" x14ac:dyDescent="0.35">
      <c r="A150" s="342" t="str">
        <f>'Sunshine Place'!A11</f>
        <v>B15 L11</v>
      </c>
      <c r="B150" s="343">
        <f>'Sunshine Place'!S11</f>
        <v>638</v>
      </c>
      <c r="C150" s="343">
        <f>'Sunshine Place'!T11</f>
        <v>0</v>
      </c>
      <c r="D150" s="333">
        <f>VLOOKUP(A150,'Sunshine Place'!$A$2:$AE$15,COLUMN('Sunshine Place'!$AE$1),FALSE)</f>
        <v>7635516.0200000005</v>
      </c>
      <c r="E150" s="333">
        <f>VLOOKUP(A150,'Sunshine Place'!$A$2:$AV$15,COLUMN('Sunshine Place'!$AV$1),FALSE)</f>
        <v>0</v>
      </c>
      <c r="F150" s="343">
        <f>'Sunshine Place'!AE11+'Sunshine Place'!AV11</f>
        <v>7635516.0200000005</v>
      </c>
      <c r="G150" s="343">
        <f>'Sunshine Place'!AD11</f>
        <v>0</v>
      </c>
      <c r="H150" s="344">
        <f t="shared" si="7"/>
        <v>8857200</v>
      </c>
      <c r="I150" s="343"/>
      <c r="J150" s="110"/>
      <c r="K150" s="110"/>
      <c r="L150" s="110"/>
      <c r="M150" s="345" t="s">
        <v>648</v>
      </c>
      <c r="N150" s="346"/>
    </row>
    <row r="151" spans="1:14" hidden="1" x14ac:dyDescent="0.35">
      <c r="A151" s="342" t="str">
        <f>'Sunshine Place'!A12</f>
        <v>B15 L12</v>
      </c>
      <c r="B151" s="343">
        <f>'Sunshine Place'!S12</f>
        <v>715</v>
      </c>
      <c r="C151" s="343">
        <f>'Sunshine Place'!T12</f>
        <v>0</v>
      </c>
      <c r="D151" s="333">
        <f>VLOOKUP(A151,'Sunshine Place'!$A$2:$AE$15,COLUMN('Sunshine Place'!$AE$1),FALSE)</f>
        <v>15734124</v>
      </c>
      <c r="E151" s="333">
        <f>VLOOKUP(A151,'Sunshine Place'!$A$2:$AV$15,COLUMN('Sunshine Place'!$AV$1),FALSE)</f>
        <v>0</v>
      </c>
      <c r="F151" s="343">
        <f>'Sunshine Place'!AE12+'Sunshine Place'!AV12</f>
        <v>15734124</v>
      </c>
      <c r="G151" s="343">
        <f>'Sunshine Place'!AD12</f>
        <v>0</v>
      </c>
      <c r="H151" s="344">
        <f t="shared" si="7"/>
        <v>18251600</v>
      </c>
      <c r="I151" s="343"/>
      <c r="J151" s="110"/>
      <c r="K151" s="110"/>
      <c r="L151" s="110"/>
      <c r="M151" s="345" t="s">
        <v>648</v>
      </c>
      <c r="N151" s="346"/>
    </row>
    <row r="152" spans="1:14" hidden="1" x14ac:dyDescent="0.35">
      <c r="A152" s="342" t="str">
        <f>'Sunshine Place'!A13</f>
        <v>B15 L13</v>
      </c>
      <c r="B152" s="343">
        <f>'Sunshine Place'!S13</f>
        <v>614</v>
      </c>
      <c r="C152" s="343">
        <f>'Sunshine Place'!T13</f>
        <v>0</v>
      </c>
      <c r="D152" s="333">
        <f>VLOOKUP(A152,'Sunshine Place'!$A$2:$AE$15,COLUMN('Sunshine Place'!$AE$1),FALSE)</f>
        <v>15136692.000000002</v>
      </c>
      <c r="E152" s="333">
        <f>VLOOKUP(A152,'Sunshine Place'!$A$2:$AV$15,COLUMN('Sunshine Place'!$AV$1),FALSE)</f>
        <v>0</v>
      </c>
      <c r="F152" s="343">
        <f>'Sunshine Place'!AE13+'Sunshine Place'!AV13</f>
        <v>15136692.000000002</v>
      </c>
      <c r="G152" s="343">
        <f>'Sunshine Place'!AD13</f>
        <v>0</v>
      </c>
      <c r="H152" s="344">
        <f t="shared" si="7"/>
        <v>17558600</v>
      </c>
      <c r="I152" s="343"/>
      <c r="J152" s="110"/>
      <c r="K152" s="110"/>
      <c r="L152" s="110"/>
      <c r="M152" s="345" t="s">
        <v>648</v>
      </c>
      <c r="N152" s="346"/>
    </row>
    <row r="153" spans="1:14" hidden="1" x14ac:dyDescent="0.35">
      <c r="A153" s="342" t="str">
        <f>'Sunshine Place'!A14</f>
        <v>B15 L4</v>
      </c>
      <c r="B153" s="343">
        <f>'Sunshine Place'!S14</f>
        <v>854</v>
      </c>
      <c r="C153" s="343">
        <f>'Sunshine Place'!T14</f>
        <v>0</v>
      </c>
      <c r="D153" s="333">
        <f>VLOOKUP(A153,'Sunshine Place'!$A$2:$AE$15,COLUMN('Sunshine Place'!$AE$1),FALSE)</f>
        <v>12930918</v>
      </c>
      <c r="E153" s="333">
        <f>VLOOKUP(A153,'Sunshine Place'!$A$2:$AV$15,COLUMN('Sunshine Place'!$AV$1),FALSE)</f>
        <v>0</v>
      </c>
      <c r="F153" s="343">
        <f>'Sunshine Place'!AE14+'Sunshine Place'!AV14</f>
        <v>12930918</v>
      </c>
      <c r="G153" s="343">
        <f>'Sunshine Place'!AD14</f>
        <v>0</v>
      </c>
      <c r="H153" s="344">
        <f t="shared" si="7"/>
        <v>14999900</v>
      </c>
      <c r="I153" s="343"/>
      <c r="J153" s="110"/>
      <c r="K153" s="110"/>
      <c r="L153" s="110"/>
      <c r="M153" s="345" t="s">
        <v>648</v>
      </c>
      <c r="N153" s="346"/>
    </row>
    <row r="154" spans="1:14" hidden="1" x14ac:dyDescent="0.35">
      <c r="A154" s="342" t="str">
        <f>'Sunshine Place'!A15</f>
        <v>B15 L5</v>
      </c>
      <c r="B154" s="343">
        <f>'Sunshine Place'!S15</f>
        <v>665</v>
      </c>
      <c r="C154" s="343">
        <f>'Sunshine Place'!T15</f>
        <v>0</v>
      </c>
      <c r="D154" s="333">
        <f>VLOOKUP(A154,'Sunshine Place'!$A$2:$AE$15,COLUMN('Sunshine Place'!$AE$1),FALSE)</f>
        <v>11655966</v>
      </c>
      <c r="E154" s="333">
        <f>VLOOKUP(A154,'Sunshine Place'!$A$2:$AV$15,COLUMN('Sunshine Place'!$AV$1),FALSE)</f>
        <v>0</v>
      </c>
      <c r="F154" s="343">
        <f>'Sunshine Place'!AE15+'Sunshine Place'!AV15</f>
        <v>11655966</v>
      </c>
      <c r="G154" s="343">
        <f>'Sunshine Place'!AD15</f>
        <v>0</v>
      </c>
      <c r="H154" s="344">
        <f t="shared" si="7"/>
        <v>13520900</v>
      </c>
      <c r="I154" s="343"/>
      <c r="J154" s="110"/>
      <c r="K154" s="110"/>
      <c r="L154" s="110"/>
      <c r="M154" s="345" t="s">
        <v>648</v>
      </c>
      <c r="N154" s="346"/>
    </row>
    <row r="155" spans="1:14" x14ac:dyDescent="0.35">
      <c r="A155" s="347" t="s">
        <v>620</v>
      </c>
      <c r="B155" s="348"/>
      <c r="C155" s="348"/>
      <c r="D155" s="348"/>
      <c r="E155" s="348"/>
      <c r="F155" s="348"/>
      <c r="G155" s="348"/>
      <c r="H155" s="349"/>
      <c r="I155" s="324"/>
      <c r="J155" s="324"/>
      <c r="K155" s="324"/>
      <c r="L155" s="324"/>
      <c r="M155" s="349"/>
      <c r="N155" s="326"/>
    </row>
    <row r="156" spans="1:14" s="330" customFormat="1" x14ac:dyDescent="0.35">
      <c r="A156" s="61" t="s">
        <v>616</v>
      </c>
      <c r="B156" s="327" t="s">
        <v>574</v>
      </c>
      <c r="C156" s="327" t="s">
        <v>617</v>
      </c>
      <c r="D156" s="327" t="s">
        <v>31</v>
      </c>
      <c r="E156" s="327" t="s">
        <v>48</v>
      </c>
      <c r="F156" s="327" t="s">
        <v>618</v>
      </c>
      <c r="G156" s="328" t="s">
        <v>573</v>
      </c>
      <c r="H156" s="329" t="s">
        <v>619</v>
      </c>
      <c r="I156" s="327" t="s">
        <v>618</v>
      </c>
      <c r="M156" s="328" t="s">
        <v>21</v>
      </c>
      <c r="N156" s="331"/>
    </row>
    <row r="157" spans="1:14" hidden="1" x14ac:dyDescent="0.35">
      <c r="A157" s="332" t="str">
        <f>'Woodmore Spring'!A2</f>
        <v>B7A-L3</v>
      </c>
      <c r="B157" s="333">
        <f>'Woodmore Spring'!S2</f>
        <v>309</v>
      </c>
      <c r="C157" s="333">
        <f>'Woodmore Spring'!T2</f>
        <v>0</v>
      </c>
      <c r="D157" s="333">
        <f>VLOOKUP(A157,'[6]2-Lot Tagging'!$DQ$14:$DR$126,2,FALSE)</f>
        <v>10900000</v>
      </c>
      <c r="E157" s="333">
        <f>VLOOKUP(A157,'Woodmore Spring'!$A$2:$AV$10,(COLUMN('Woodmore Spring'!$AV$1)),FALSE)</f>
        <v>0</v>
      </c>
      <c r="F157" s="333">
        <f t="shared" ref="F157:F165" si="9">SUM(D157:E157)</f>
        <v>10900000</v>
      </c>
      <c r="G157" s="333">
        <f>VLOOKUP(A157,'Woodmore Spring'!$A$2:$AV$10,(COLUMN('Woodmore Spring'!$AD$1)),FALSE)</f>
        <v>0</v>
      </c>
      <c r="H157" s="334">
        <f>ROUND((F157*1.16)+G157,-2)</f>
        <v>12644000</v>
      </c>
      <c r="I157" s="333">
        <v>5884596</v>
      </c>
      <c r="M157" s="335" t="s">
        <v>648</v>
      </c>
      <c r="N157" s="336"/>
    </row>
    <row r="158" spans="1:14" x14ac:dyDescent="0.35">
      <c r="A158" s="337" t="str">
        <f>'Woodmore Spring'!A3</f>
        <v>B2-L18</v>
      </c>
      <c r="B158" s="333">
        <f>'Woodmore Spring'!S3</f>
        <v>541</v>
      </c>
      <c r="C158" s="333">
        <f>'Woodmore Spring'!T3</f>
        <v>0</v>
      </c>
      <c r="D158" s="333">
        <f>VLOOKUP(A158,'[6]2-Lot Tagging'!$DQ$14:$DR$126,2,FALSE)</f>
        <v>21940000</v>
      </c>
      <c r="E158" s="333">
        <f>VLOOKUP(A158,'Woodmore Spring'!$A$2:$AV$10,(COLUMN('Woodmore Spring'!$AV$1)),FALSE)</f>
        <v>0</v>
      </c>
      <c r="F158" s="333">
        <f t="shared" si="9"/>
        <v>21940000</v>
      </c>
      <c r="G158" s="333">
        <f>VLOOKUP(A158,'Woodmore Spring'!$A$2:$AV$10,(COLUMN('Woodmore Spring'!$AD$1)),FALSE)</f>
        <v>0</v>
      </c>
      <c r="H158" s="334">
        <f>ROUND((F158*1.16)+G158,-2)</f>
        <v>25450400</v>
      </c>
      <c r="I158" s="333">
        <v>11850064</v>
      </c>
      <c r="J158" s="1" t="s">
        <v>641</v>
      </c>
      <c r="K158" s="1">
        <f>(I158+I163-'Woodmore Spring'!AV8)/(B158+B163)</f>
        <v>20822.459770114943</v>
      </c>
      <c r="L158" s="1" t="s">
        <v>643</v>
      </c>
      <c r="M158" s="335" t="s">
        <v>647</v>
      </c>
      <c r="N158" s="336"/>
    </row>
    <row r="159" spans="1:14" hidden="1" x14ac:dyDescent="0.35">
      <c r="A159" s="332" t="str">
        <f>'Woodmore Spring'!A4</f>
        <v>B2-L25</v>
      </c>
      <c r="B159" s="333">
        <f>'Woodmore Spring'!S4</f>
        <v>430</v>
      </c>
      <c r="C159" s="333">
        <f>'Woodmore Spring'!T4</f>
        <v>0</v>
      </c>
      <c r="D159" s="333">
        <f>VLOOKUP(A159,'[6]2-Lot Tagging'!$DQ$14:$DR$126,2,FALSE)</f>
        <v>18200000</v>
      </c>
      <c r="E159" s="333">
        <f>VLOOKUP(A159,'Woodmore Spring'!$A$2:$AV$10,(COLUMN('Woodmore Spring'!$AV$1)),FALSE)</f>
        <v>0</v>
      </c>
      <c r="F159" s="333">
        <f t="shared" si="9"/>
        <v>18200000</v>
      </c>
      <c r="G159" s="333">
        <f>VLOOKUP(A159,'Woodmore Spring'!$A$2:$AV$10,(COLUMN('Woodmore Spring'!$AD$1)),FALSE)</f>
        <v>0</v>
      </c>
      <c r="H159" s="334">
        <f t="shared" ref="H159:H200" si="10">ROUND((F159*1.16)+G159,-2)</f>
        <v>21112000</v>
      </c>
      <c r="I159" s="333">
        <v>9831520</v>
      </c>
      <c r="M159" s="335" t="s">
        <v>648</v>
      </c>
      <c r="N159" s="336"/>
    </row>
    <row r="160" spans="1:14" hidden="1" x14ac:dyDescent="0.35">
      <c r="A160" s="332" t="str">
        <f>'Woodmore Spring'!A5</f>
        <v>B2-L26</v>
      </c>
      <c r="B160" s="333">
        <f>'Woodmore Spring'!S5</f>
        <v>557</v>
      </c>
      <c r="C160" s="333">
        <f>'Woodmore Spring'!T5</f>
        <v>0</v>
      </c>
      <c r="D160" s="333">
        <f>VLOOKUP(A160,'[6]2-Lot Tagging'!$DQ$14:$DR$126,2,FALSE)</f>
        <v>23570000</v>
      </c>
      <c r="E160" s="333">
        <f>VLOOKUP(A160,'Woodmore Spring'!$A$2:$AV$10,(COLUMN('Woodmore Spring'!$AV$1)),FALSE)</f>
        <v>0</v>
      </c>
      <c r="F160" s="333">
        <f t="shared" si="9"/>
        <v>23570000</v>
      </c>
      <c r="G160" s="333">
        <f>VLOOKUP(A160,'Woodmore Spring'!$A$2:$AV$10,(COLUMN('Woodmore Spring'!$AD$1)),FALSE)</f>
        <v>0</v>
      </c>
      <c r="H160" s="334">
        <f t="shared" si="10"/>
        <v>27341200</v>
      </c>
      <c r="I160" s="333">
        <v>12735248</v>
      </c>
      <c r="M160" s="335" t="s">
        <v>648</v>
      </c>
      <c r="N160" s="336"/>
    </row>
    <row r="161" spans="1:15" hidden="1" x14ac:dyDescent="0.35">
      <c r="A161" s="332" t="str">
        <f>'Woodmore Spring'!A6</f>
        <v>B7B-L13</v>
      </c>
      <c r="B161" s="333">
        <f>'Woodmore Spring'!S6</f>
        <v>363</v>
      </c>
      <c r="C161" s="333">
        <f>'Woodmore Spring'!T6</f>
        <v>0</v>
      </c>
      <c r="D161" s="333">
        <f>VLOOKUP(A161,'[6]2-Lot Tagging'!$DQ$14:$DR$126,2,FALSE)</f>
        <v>11520000</v>
      </c>
      <c r="E161" s="333">
        <f>VLOOKUP(A161,'Woodmore Spring'!$A$2:$AV$10,(COLUMN('Woodmore Spring'!$AV$1)),FALSE)</f>
        <v>0</v>
      </c>
      <c r="F161" s="333">
        <f t="shared" si="9"/>
        <v>11520000</v>
      </c>
      <c r="G161" s="333">
        <f>VLOOKUP(A161,'Woodmore Spring'!$A$2:$AV$10,(COLUMN('Woodmore Spring'!$AD$1)),FALSE)</f>
        <v>0</v>
      </c>
      <c r="H161" s="334">
        <f t="shared" si="10"/>
        <v>13363200</v>
      </c>
      <c r="I161" s="333">
        <v>6219642</v>
      </c>
      <c r="M161" s="335" t="s">
        <v>648</v>
      </c>
      <c r="N161" s="336"/>
    </row>
    <row r="162" spans="1:15" hidden="1" x14ac:dyDescent="0.35">
      <c r="A162" s="332" t="str">
        <f>'Woodmore Spring'!A7</f>
        <v>B7B-L16</v>
      </c>
      <c r="B162" s="333">
        <f>'Woodmore Spring'!S7</f>
        <v>311</v>
      </c>
      <c r="C162" s="333">
        <f>'Woodmore Spring'!T7</f>
        <v>0</v>
      </c>
      <c r="D162" s="333">
        <f>VLOOKUP(A162,'[6]2-Lot Tagging'!$DQ$14:$DR$126,2,FALSE)</f>
        <v>9870000</v>
      </c>
      <c r="E162" s="333">
        <f>VLOOKUP(A162,'Woodmore Spring'!$A$2:$AV$10,(COLUMN('Woodmore Spring'!$AV$1)),FALSE)</f>
        <v>0</v>
      </c>
      <c r="F162" s="333">
        <f t="shared" si="9"/>
        <v>9870000</v>
      </c>
      <c r="G162" s="333">
        <f>VLOOKUP(A162,'Woodmore Spring'!$A$2:$AV$10,(COLUMN('Woodmore Spring'!$AD$1)),FALSE)</f>
        <v>0</v>
      </c>
      <c r="H162" s="334">
        <f t="shared" si="10"/>
        <v>11449200</v>
      </c>
      <c r="I162" s="333">
        <v>5328674</v>
      </c>
      <c r="M162" s="335" t="s">
        <v>648</v>
      </c>
      <c r="N162" s="336"/>
    </row>
    <row r="163" spans="1:15" x14ac:dyDescent="0.35">
      <c r="A163" s="337" t="str">
        <f>'Woodmore Spring'!A8</f>
        <v>B7B-L6</v>
      </c>
      <c r="B163" s="333">
        <f>'Woodmore Spring'!S8</f>
        <v>329</v>
      </c>
      <c r="C163" s="333">
        <f>'Woodmore Spring'!T8</f>
        <v>179</v>
      </c>
      <c r="D163" s="333">
        <f>VLOOKUP(A163,'[6]2-Lot Tagging'!$DQ$14:$DR$126,2,FALSE)</f>
        <v>11600000</v>
      </c>
      <c r="E163" s="333">
        <f>VLOOKUP(A163,'Woodmore Spring'!$A$2:$AV$10,(COLUMN('Woodmore Spring'!$AV$1)),FALSE)</f>
        <v>6120400</v>
      </c>
      <c r="F163" s="333">
        <f t="shared" si="9"/>
        <v>17720400</v>
      </c>
      <c r="G163" s="333">
        <f>VLOOKUP(A163,'Woodmore Spring'!$A$2:$AV$10,(COLUMN('Woodmore Spring'!$AD$1)),FALSE)</f>
        <v>4738600</v>
      </c>
      <c r="H163" s="334">
        <f t="shared" si="10"/>
        <v>25294300</v>
      </c>
      <c r="I163" s="333">
        <v>12385876</v>
      </c>
      <c r="J163" s="1" t="s">
        <v>642</v>
      </c>
      <c r="K163" s="1">
        <f>(F158+F163-'Woodmore Spring'!AV8)/(B158+B163)</f>
        <v>38551.724137931036</v>
      </c>
      <c r="L163" s="1">
        <f>(K163-K158)/K158</f>
        <v>0.85144908735814673</v>
      </c>
      <c r="M163" s="335" t="s">
        <v>647</v>
      </c>
      <c r="N163" s="336"/>
    </row>
    <row r="164" spans="1:15" hidden="1" x14ac:dyDescent="0.35">
      <c r="A164" s="332" t="str">
        <f>'Woodmore Spring'!A9</f>
        <v>B7A-L6</v>
      </c>
      <c r="B164" s="333">
        <f>'Woodmore Spring'!S9</f>
        <v>328</v>
      </c>
      <c r="C164" s="333">
        <f>'Woodmore Spring'!T9</f>
        <v>231</v>
      </c>
      <c r="D164" s="333">
        <f>VLOOKUP(A164,'[6]2-Lot Tagging'!$DQ$14:$DR$126,2,FALSE)</f>
        <v>11570000</v>
      </c>
      <c r="E164" s="333">
        <f>VLOOKUP(A164,'Woodmore Spring'!$A$2:$AV$10,(COLUMN('Woodmore Spring'!$AV$1)),FALSE)</f>
        <v>7627620</v>
      </c>
      <c r="F164" s="333">
        <f t="shared" si="9"/>
        <v>19197620</v>
      </c>
      <c r="G164" s="333">
        <f>539973.74*2</f>
        <v>1079947.48</v>
      </c>
      <c r="H164" s="334">
        <f>ROUND((F164*1.16)+G164,-2)</f>
        <v>23349200</v>
      </c>
      <c r="I164" s="333">
        <v>13874052</v>
      </c>
      <c r="M164" s="335" t="s">
        <v>648</v>
      </c>
      <c r="N164" s="336"/>
    </row>
    <row r="165" spans="1:15" hidden="1" x14ac:dyDescent="0.35">
      <c r="A165" s="332" t="str">
        <f>'Woodmore Spring'!A10</f>
        <v>B7B-L12</v>
      </c>
      <c r="B165" s="333">
        <f>'Woodmore Spring'!S10</f>
        <v>408</v>
      </c>
      <c r="C165" s="333">
        <f>'Woodmore Spring'!T10</f>
        <v>231</v>
      </c>
      <c r="D165" s="333">
        <f>VLOOKUP(A165,'[6]2-Lot Tagging'!$DQ$14:$DR$126,2,FALSE)</f>
        <v>11510000</v>
      </c>
      <c r="E165" s="333">
        <f>VLOOKUP(A165,'Woodmore Spring'!$A$2:$AV$10,(COLUMN('Woodmore Spring'!$AV$1)),FALSE)</f>
        <v>7627620</v>
      </c>
      <c r="F165" s="333">
        <f t="shared" si="9"/>
        <v>19137620</v>
      </c>
      <c r="G165" s="333">
        <f>VLOOKUP(A165,'Woodmore Spring'!$A$2:$AV$10,(COLUMN('Woodmore Spring'!$AD$1)),FALSE)</f>
        <v>0</v>
      </c>
      <c r="H165" s="334">
        <f t="shared" si="10"/>
        <v>22199600</v>
      </c>
      <c r="I165" s="333">
        <v>13843092</v>
      </c>
      <c r="M165" s="335" t="s">
        <v>648</v>
      </c>
      <c r="N165" s="336"/>
    </row>
    <row r="166" spans="1:15" x14ac:dyDescent="0.35">
      <c r="A166" s="347" t="s">
        <v>621</v>
      </c>
      <c r="B166" s="348"/>
      <c r="C166" s="348"/>
      <c r="D166" s="348"/>
      <c r="E166" s="348"/>
      <c r="F166" s="348"/>
      <c r="G166" s="348"/>
      <c r="H166" s="349"/>
      <c r="I166" s="324"/>
      <c r="J166" s="324"/>
      <c r="K166" s="324"/>
      <c r="L166" s="324"/>
      <c r="M166" s="349"/>
      <c r="N166" s="326"/>
    </row>
    <row r="167" spans="1:15" s="330" customFormat="1" x14ac:dyDescent="0.35">
      <c r="A167" s="61" t="s">
        <v>616</v>
      </c>
      <c r="B167" s="327" t="s">
        <v>574</v>
      </c>
      <c r="C167" s="327" t="s">
        <v>617</v>
      </c>
      <c r="D167" s="327" t="s">
        <v>31</v>
      </c>
      <c r="E167" s="327" t="s">
        <v>48</v>
      </c>
      <c r="F167" s="327" t="s">
        <v>618</v>
      </c>
      <c r="G167" s="328" t="s">
        <v>573</v>
      </c>
      <c r="H167" s="329" t="s">
        <v>619</v>
      </c>
      <c r="I167" s="327" t="s">
        <v>618</v>
      </c>
      <c r="M167" s="328" t="s">
        <v>21</v>
      </c>
      <c r="N167" s="331"/>
    </row>
    <row r="168" spans="1:15" x14ac:dyDescent="0.35">
      <c r="A168" s="332" t="str">
        <f>'West Parc'!A2</f>
        <v>B10-L10</v>
      </c>
      <c r="B168" s="333">
        <f>'West Parc'!S2</f>
        <v>429</v>
      </c>
      <c r="C168" s="333">
        <f>'West Parc'!T2</f>
        <v>0</v>
      </c>
      <c r="D168" s="333">
        <f>VLOOKUP(A168,'[7]2-Lot Tagging'!$DQ$14:$DR$80,2,FALSE)</f>
        <v>13390000</v>
      </c>
      <c r="E168" s="333">
        <f>VLOOKUP(A168,'West Parc'!$A$2:$AV$28,(COLUMN('West Parc'!$AV$1)),FALSE)</f>
        <v>0</v>
      </c>
      <c r="F168" s="333">
        <f>D168+E168</f>
        <v>13390000</v>
      </c>
      <c r="G168" s="333">
        <f>'West Parc'!AD2</f>
        <v>0</v>
      </c>
      <c r="H168" s="334">
        <f>ROUND((F168*1.16)+G168,-2)</f>
        <v>15532400</v>
      </c>
      <c r="I168" s="333">
        <v>7933068</v>
      </c>
      <c r="M168" s="335" t="s">
        <v>647</v>
      </c>
      <c r="N168" s="336"/>
      <c r="O168" s="350"/>
    </row>
    <row r="169" spans="1:15" hidden="1" x14ac:dyDescent="0.35">
      <c r="A169" s="332" t="str">
        <f>'West Parc'!A3</f>
        <v>B10-L11</v>
      </c>
      <c r="B169" s="333">
        <f>'West Parc'!S3</f>
        <v>573</v>
      </c>
      <c r="C169" s="333">
        <f>'West Parc'!T3</f>
        <v>0</v>
      </c>
      <c r="D169" s="333">
        <f>VLOOKUP(A169,'[7]2-Lot Tagging'!$DQ$14:$DR$80,2,FALSE)</f>
        <v>19670000</v>
      </c>
      <c r="E169" s="333">
        <f>VLOOKUP(A169,'West Parc'!$A$2:$AV$28,(COLUMN('West Parc'!$AV$1)),FALSE)</f>
        <v>0</v>
      </c>
      <c r="F169" s="333">
        <f t="shared" ref="F169:F194" si="11">D169+E169</f>
        <v>19670000</v>
      </c>
      <c r="G169" s="333">
        <f>'West Parc'!AD3</f>
        <v>0</v>
      </c>
      <c r="H169" s="334">
        <f t="shared" si="10"/>
        <v>22817200</v>
      </c>
      <c r="I169" s="333">
        <v>11655966</v>
      </c>
      <c r="M169" s="335" t="s">
        <v>648</v>
      </c>
      <c r="N169" s="336"/>
      <c r="O169" s="350"/>
    </row>
    <row r="170" spans="1:15" hidden="1" x14ac:dyDescent="0.35">
      <c r="A170" s="332" t="str">
        <f>'West Parc'!A4</f>
        <v>B10-L12</v>
      </c>
      <c r="B170" s="333">
        <f>'West Parc'!S4</f>
        <v>499</v>
      </c>
      <c r="C170" s="333">
        <f>'West Parc'!T4</f>
        <v>0</v>
      </c>
      <c r="D170" s="333">
        <f>VLOOKUP(A170,'[7]2-Lot Tagging'!$DQ$14:$DR$80,2,FALSE)</f>
        <v>17130000</v>
      </c>
      <c r="E170" s="333">
        <f>VLOOKUP(A170,'West Parc'!$A$2:$AV$28,(COLUMN('West Parc'!$AV$1)),FALSE)</f>
        <v>0</v>
      </c>
      <c r="F170" s="333">
        <f t="shared" si="11"/>
        <v>17130000</v>
      </c>
      <c r="G170" s="333">
        <f>'West Parc'!AD4</f>
        <v>0</v>
      </c>
      <c r="H170" s="334">
        <f t="shared" si="10"/>
        <v>19870800</v>
      </c>
      <c r="I170" s="333">
        <v>10150658</v>
      </c>
      <c r="M170" s="335" t="s">
        <v>648</v>
      </c>
      <c r="N170" s="336"/>
      <c r="O170" s="350"/>
    </row>
    <row r="171" spans="1:15" x14ac:dyDescent="0.35">
      <c r="A171" s="332" t="str">
        <f>'West Parc'!A5</f>
        <v>B10-L2</v>
      </c>
      <c r="B171" s="333">
        <f>'West Parc'!S5</f>
        <v>456</v>
      </c>
      <c r="C171" s="333">
        <f>'West Parc'!T5</f>
        <v>0</v>
      </c>
      <c r="D171" s="333">
        <f>VLOOKUP(A171,'[7]2-Lot Tagging'!$DQ$14:$DR$80,2,FALSE)</f>
        <v>16370000</v>
      </c>
      <c r="E171" s="333">
        <f>VLOOKUP(A171,'West Parc'!$A$2:$AV$28,(COLUMN('West Parc'!$AV$1)),FALSE)</f>
        <v>0</v>
      </c>
      <c r="F171" s="333">
        <f t="shared" si="11"/>
        <v>16370000</v>
      </c>
      <c r="G171" s="333">
        <f>'West Parc'!AD5</f>
        <v>0</v>
      </c>
      <c r="H171" s="334">
        <f t="shared" si="10"/>
        <v>18989200</v>
      </c>
      <c r="I171" s="333">
        <v>9700032</v>
      </c>
      <c r="M171" s="335" t="s">
        <v>647</v>
      </c>
      <c r="N171" s="336"/>
      <c r="O171" s="350"/>
    </row>
    <row r="172" spans="1:15" x14ac:dyDescent="0.35">
      <c r="A172" s="332" t="str">
        <f>'West Parc'!A6</f>
        <v>B10-L8</v>
      </c>
      <c r="B172" s="333">
        <f>'West Parc'!S6</f>
        <v>386</v>
      </c>
      <c r="C172" s="333">
        <f>'West Parc'!T6</f>
        <v>0</v>
      </c>
      <c r="D172" s="333">
        <f>VLOOKUP(A172,'[7]2-Lot Tagging'!$DQ$14:$DR$80,2,FALSE)</f>
        <v>12050000</v>
      </c>
      <c r="E172" s="333">
        <f>VLOOKUP(A172,'West Parc'!$A$2:$AV$28,(COLUMN('West Parc'!$AV$1)),FALSE)</f>
        <v>0</v>
      </c>
      <c r="F172" s="333">
        <f t="shared" si="11"/>
        <v>12050000</v>
      </c>
      <c r="G172" s="333">
        <f>'West Parc'!AD6</f>
        <v>0</v>
      </c>
      <c r="H172" s="334">
        <f t="shared" si="10"/>
        <v>13978000</v>
      </c>
      <c r="I172" s="333">
        <v>7137912</v>
      </c>
      <c r="M172" s="335" t="s">
        <v>647</v>
      </c>
      <c r="N172" s="336"/>
      <c r="O172" s="350"/>
    </row>
    <row r="173" spans="1:15" hidden="1" x14ac:dyDescent="0.35">
      <c r="A173" s="332" t="str">
        <f>'West Parc'!A7</f>
        <v>B10-L9</v>
      </c>
      <c r="B173" s="333">
        <f>'West Parc'!S7</f>
        <v>407</v>
      </c>
      <c r="C173" s="333">
        <f>'West Parc'!T7</f>
        <v>0</v>
      </c>
      <c r="D173" s="333">
        <f>VLOOKUP(A173,'[7]2-Lot Tagging'!$DQ$14:$DR$80,2,FALSE)</f>
        <v>12700000</v>
      </c>
      <c r="E173" s="333">
        <f>VLOOKUP(A173,'West Parc'!$A$2:$AV$28,(COLUMN('West Parc'!$AV$1)),FALSE)</f>
        <v>0</v>
      </c>
      <c r="F173" s="333">
        <f t="shared" si="11"/>
        <v>12700000</v>
      </c>
      <c r="G173" s="333">
        <f>'West Parc'!AD7</f>
        <v>0</v>
      </c>
      <c r="H173" s="334">
        <f t="shared" si="10"/>
        <v>14732000</v>
      </c>
      <c r="I173" s="333">
        <v>7526244</v>
      </c>
      <c r="M173" s="335" t="s">
        <v>648</v>
      </c>
      <c r="N173" s="336"/>
      <c r="O173" s="350"/>
    </row>
    <row r="174" spans="1:15" hidden="1" x14ac:dyDescent="0.35">
      <c r="A174" s="332" t="str">
        <f>'West Parc'!A8</f>
        <v>B11-L4</v>
      </c>
      <c r="B174" s="333">
        <f>'West Parc'!S8</f>
        <v>427</v>
      </c>
      <c r="C174" s="333">
        <f>'West Parc'!T8</f>
        <v>0</v>
      </c>
      <c r="D174" s="333">
        <f>VLOOKUP(A174,'[7]2-Lot Tagging'!$DQ$14:$DR$80,2,FALSE)</f>
        <v>13330000</v>
      </c>
      <c r="E174" s="333">
        <f>VLOOKUP(A174,'West Parc'!$A$2:$AV$28,(COLUMN('West Parc'!$AV$1)),FALSE)</f>
        <v>0</v>
      </c>
      <c r="F174" s="333">
        <f t="shared" si="11"/>
        <v>13330000</v>
      </c>
      <c r="G174" s="333">
        <f>'West Parc'!AD8</f>
        <v>0</v>
      </c>
      <c r="H174" s="334">
        <f t="shared" si="10"/>
        <v>15462800</v>
      </c>
      <c r="I174" s="333">
        <v>7896084</v>
      </c>
      <c r="M174" s="335" t="s">
        <v>648</v>
      </c>
      <c r="N174" s="336"/>
      <c r="O174" s="350"/>
    </row>
    <row r="175" spans="1:15" x14ac:dyDescent="0.35">
      <c r="A175" s="332" t="str">
        <f>'West Parc'!A9</f>
        <v>B11-L5</v>
      </c>
      <c r="B175" s="333">
        <f>'West Parc'!S9</f>
        <v>485</v>
      </c>
      <c r="C175" s="333">
        <f>'West Parc'!T9</f>
        <v>0</v>
      </c>
      <c r="D175" s="333">
        <f>VLOOKUP(A175,'[7]2-Lot Tagging'!$DQ$14:$DR$80,2,FALSE)</f>
        <v>15140000</v>
      </c>
      <c r="E175" s="333">
        <f>VLOOKUP(A175,'West Parc'!$A$2:$AV$28,(COLUMN('West Parc'!$AV$1)),FALSE)</f>
        <v>0</v>
      </c>
      <c r="F175" s="333">
        <f t="shared" si="11"/>
        <v>15140000</v>
      </c>
      <c r="G175" s="333">
        <f>'West Parc'!AD9</f>
        <v>0</v>
      </c>
      <c r="H175" s="334">
        <f t="shared" si="10"/>
        <v>17562400</v>
      </c>
      <c r="I175" s="333">
        <v>8968620</v>
      </c>
      <c r="M175" s="335" t="s">
        <v>647</v>
      </c>
      <c r="N175" s="336"/>
      <c r="O175" s="350"/>
    </row>
    <row r="176" spans="1:15" x14ac:dyDescent="0.35">
      <c r="A176" s="332" t="str">
        <f>'West Parc'!A10</f>
        <v>B11-L6</v>
      </c>
      <c r="B176" s="333">
        <f>'West Parc'!S10</f>
        <v>750</v>
      </c>
      <c r="C176" s="333">
        <f>'West Parc'!T10</f>
        <v>0</v>
      </c>
      <c r="D176" s="333">
        <f>VLOOKUP(A176,'[7]2-Lot Tagging'!$DQ$14:$DR$80,2,FALSE)</f>
        <v>22230000</v>
      </c>
      <c r="E176" s="333">
        <f>VLOOKUP(A176,'West Parc'!$A$2:$AV$28,(COLUMN('West Parc'!$AV$1)),FALSE)</f>
        <v>0</v>
      </c>
      <c r="F176" s="333">
        <f t="shared" si="11"/>
        <v>22230000</v>
      </c>
      <c r="G176" s="333">
        <f>'West Parc'!AD10</f>
        <v>0</v>
      </c>
      <c r="H176" s="334">
        <f t="shared" si="10"/>
        <v>25786800</v>
      </c>
      <c r="I176" s="333">
        <v>13171500</v>
      </c>
      <c r="M176" s="335" t="s">
        <v>647</v>
      </c>
      <c r="N176" s="336"/>
      <c r="O176" s="350"/>
    </row>
    <row r="177" spans="1:15" x14ac:dyDescent="0.35">
      <c r="A177" s="332" t="str">
        <f>'West Parc'!A11</f>
        <v>B11-L7</v>
      </c>
      <c r="B177" s="333">
        <f>'West Parc'!S11</f>
        <v>640</v>
      </c>
      <c r="C177" s="333">
        <f>'West Parc'!T11</f>
        <v>0</v>
      </c>
      <c r="D177" s="333">
        <f>VLOOKUP(A177,'[7]2-Lot Tagging'!$DQ$14:$DR$80,2,FALSE)</f>
        <v>17980000</v>
      </c>
      <c r="E177" s="333">
        <f>VLOOKUP(A177,'West Parc'!$A$2:$AV$28,(COLUMN('West Parc'!$AV$1)),FALSE)</f>
        <v>0</v>
      </c>
      <c r="F177" s="333">
        <f t="shared" si="11"/>
        <v>17980000</v>
      </c>
      <c r="G177" s="333">
        <f>'West Parc'!AD11</f>
        <v>0</v>
      </c>
      <c r="H177" s="334">
        <f t="shared" si="10"/>
        <v>20856800</v>
      </c>
      <c r="I177" s="333">
        <v>10650880</v>
      </c>
      <c r="J177" s="1" t="s">
        <v>641</v>
      </c>
      <c r="K177" s="1">
        <f>(I168+I171+I172+I173+I175+I176+I177+I180)/(B168+B171+B172+B173+B175+B176+B177+B180)</f>
        <v>18463.323709322241</v>
      </c>
      <c r="L177" s="1" t="s">
        <v>643</v>
      </c>
      <c r="M177" s="335" t="s">
        <v>647</v>
      </c>
      <c r="N177" s="336"/>
      <c r="O177" s="350"/>
    </row>
    <row r="178" spans="1:15" hidden="1" x14ac:dyDescent="0.35">
      <c r="A178" s="332" t="str">
        <f>'West Parc'!A12</f>
        <v>B13-L6</v>
      </c>
      <c r="B178" s="333">
        <f>'West Parc'!S12</f>
        <v>491</v>
      </c>
      <c r="C178" s="333">
        <f>'West Parc'!T12</f>
        <v>0</v>
      </c>
      <c r="D178" s="333">
        <f>VLOOKUP(A178,'[7]2-Lot Tagging'!$DQ$14:$DR$80,2,FALSE)</f>
        <v>13030000</v>
      </c>
      <c r="E178" s="333">
        <f>VLOOKUP(A178,'West Parc'!$A$2:$AV$28,(COLUMN('West Parc'!$AV$1)),FALSE)</f>
        <v>0</v>
      </c>
      <c r="F178" s="333">
        <f t="shared" si="11"/>
        <v>13030000</v>
      </c>
      <c r="G178" s="333">
        <f>'West Parc'!AD12</f>
        <v>0</v>
      </c>
      <c r="H178" s="334">
        <f t="shared" si="10"/>
        <v>15114800</v>
      </c>
      <c r="I178" s="333">
        <v>7714592</v>
      </c>
      <c r="M178" s="335" t="s">
        <v>648</v>
      </c>
      <c r="N178" s="336"/>
      <c r="O178" s="350"/>
    </row>
    <row r="179" spans="1:15" hidden="1" x14ac:dyDescent="0.35">
      <c r="A179" s="332" t="str">
        <f>'West Parc'!A13</f>
        <v>B13-L8</v>
      </c>
      <c r="B179" s="333">
        <f>'West Parc'!S13</f>
        <v>473</v>
      </c>
      <c r="C179" s="333">
        <f>'West Parc'!T13</f>
        <v>0</v>
      </c>
      <c r="D179" s="333">
        <f>VLOOKUP(A179,'[7]2-Lot Tagging'!$DQ$14:$DR$80,2,FALSE)</f>
        <v>13290000</v>
      </c>
      <c r="E179" s="333">
        <f>VLOOKUP(A179,'West Parc'!$A$2:$AV$28,(COLUMN('West Parc'!$AV$1)),FALSE)</f>
        <v>0</v>
      </c>
      <c r="F179" s="333">
        <f t="shared" si="11"/>
        <v>13290000</v>
      </c>
      <c r="G179" s="333">
        <f>'West Parc'!AD13</f>
        <v>0</v>
      </c>
      <c r="H179" s="334">
        <f t="shared" si="10"/>
        <v>15416400</v>
      </c>
      <c r="I179" s="333">
        <v>7871666</v>
      </c>
      <c r="M179" s="335" t="s">
        <v>648</v>
      </c>
      <c r="N179" s="336"/>
      <c r="O179" s="350"/>
    </row>
    <row r="180" spans="1:15" x14ac:dyDescent="0.35">
      <c r="A180" s="332" t="str">
        <f>'West Parc'!A14</f>
        <v>B6-L10</v>
      </c>
      <c r="B180" s="333">
        <f>'West Parc'!S14</f>
        <v>534</v>
      </c>
      <c r="C180" s="333">
        <f>'West Parc'!T14</f>
        <v>0</v>
      </c>
      <c r="D180" s="333">
        <f>VLOOKUP(A180,'[7]2-Lot Tagging'!$DQ$14:$DR$80,2,FALSE)</f>
        <v>17500000</v>
      </c>
      <c r="E180" s="333">
        <f>VLOOKUP(A180,'West Parc'!$A$2:$AV$28,(COLUMN('West Parc'!$AV$1)),FALSE)</f>
        <v>0</v>
      </c>
      <c r="F180" s="333">
        <f t="shared" si="11"/>
        <v>17500000</v>
      </c>
      <c r="G180" s="333">
        <f>'West Parc'!AD14</f>
        <v>0</v>
      </c>
      <c r="H180" s="334">
        <f>ROUND((F180*1.16)+G180,-2)</f>
        <v>20300000</v>
      </c>
      <c r="I180" s="333">
        <v>10371348</v>
      </c>
      <c r="J180" s="1" t="s">
        <v>642</v>
      </c>
      <c r="K180" s="1">
        <f>(F168+F171+F172+F173+F175+F176+F177+F180)/(B168+B171+B172+B173+B175+B176+B177+B180)</f>
        <v>31162.22167849278</v>
      </c>
      <c r="L180" s="1">
        <f>(K180-K177)/K177</f>
        <v>0.68779046335838168</v>
      </c>
      <c r="M180" s="335" t="s">
        <v>647</v>
      </c>
      <c r="N180" s="336"/>
      <c r="O180" s="350"/>
    </row>
    <row r="181" spans="1:15" hidden="1" x14ac:dyDescent="0.35">
      <c r="A181" s="332" t="str">
        <f>'West Parc'!A15</f>
        <v>B6-L11</v>
      </c>
      <c r="B181" s="333">
        <f>'West Parc'!S15</f>
        <v>384</v>
      </c>
      <c r="C181" s="333">
        <f>'West Parc'!T15</f>
        <v>0</v>
      </c>
      <c r="D181" s="333">
        <f>VLOOKUP(A181,'[7]2-Lot Tagging'!$DQ$14:$DR$80,2,FALSE)</f>
        <v>10790000</v>
      </c>
      <c r="E181" s="333">
        <f>VLOOKUP(A181,'West Parc'!$A$2:$AV$28,(COLUMN('West Parc'!$AV$1)),FALSE)</f>
        <v>0</v>
      </c>
      <c r="F181" s="333">
        <f t="shared" si="11"/>
        <v>10790000</v>
      </c>
      <c r="G181" s="333">
        <f>'West Parc'!AD15</f>
        <v>0</v>
      </c>
      <c r="H181" s="334">
        <f t="shared" si="10"/>
        <v>12516400</v>
      </c>
      <c r="I181" s="333">
        <v>6390528</v>
      </c>
      <c r="M181" s="335" t="s">
        <v>648</v>
      </c>
      <c r="N181" s="336"/>
      <c r="O181" s="350"/>
    </row>
    <row r="182" spans="1:15" hidden="1" x14ac:dyDescent="0.35">
      <c r="A182" s="332" t="str">
        <f>'West Parc'!A16</f>
        <v>B6-L4</v>
      </c>
      <c r="B182" s="333">
        <f>'West Parc'!S16</f>
        <v>656</v>
      </c>
      <c r="C182" s="333">
        <f>'West Parc'!T16</f>
        <v>0</v>
      </c>
      <c r="D182" s="333">
        <f>VLOOKUP(A182,'[7]2-Lot Tagging'!$DQ$14:$DR$80,2,FALSE)</f>
        <v>21500000</v>
      </c>
      <c r="E182" s="333">
        <f>VLOOKUP(A182,'West Parc'!$A$2:$AV$28,(COLUMN('West Parc'!$AV$1)),FALSE)</f>
        <v>0</v>
      </c>
      <c r="F182" s="333">
        <f t="shared" si="11"/>
        <v>21500000</v>
      </c>
      <c r="G182" s="333">
        <f>'West Parc'!AD16</f>
        <v>0</v>
      </c>
      <c r="H182" s="334">
        <f t="shared" si="10"/>
        <v>24940000</v>
      </c>
      <c r="I182" s="333">
        <v>12740832</v>
      </c>
      <c r="M182" s="335" t="s">
        <v>648</v>
      </c>
      <c r="N182" s="336"/>
      <c r="O182" s="350"/>
    </row>
    <row r="183" spans="1:15" hidden="1" x14ac:dyDescent="0.35">
      <c r="A183" s="332" t="str">
        <f>'West Parc'!A17</f>
        <v>B6-L5</v>
      </c>
      <c r="B183" s="333">
        <f>'West Parc'!S17</f>
        <v>555</v>
      </c>
      <c r="C183" s="333">
        <f>'West Parc'!T17</f>
        <v>0</v>
      </c>
      <c r="D183" s="333">
        <f>VLOOKUP(A183,'[7]2-Lot Tagging'!$DQ$14:$DR$80,2,FALSE)</f>
        <v>14720000</v>
      </c>
      <c r="E183" s="333">
        <f>VLOOKUP(A183,'West Parc'!$A$2:$AV$28,(COLUMN('West Parc'!$AV$1)),FALSE)</f>
        <v>0</v>
      </c>
      <c r="F183" s="333">
        <f t="shared" si="11"/>
        <v>14720000</v>
      </c>
      <c r="G183" s="333">
        <f>'West Parc'!AD17</f>
        <v>0</v>
      </c>
      <c r="H183" s="334">
        <f t="shared" si="10"/>
        <v>17075200</v>
      </c>
      <c r="I183" s="333">
        <v>8720160</v>
      </c>
      <c r="M183" s="335" t="s">
        <v>648</v>
      </c>
      <c r="N183" s="336"/>
      <c r="O183" s="350"/>
    </row>
    <row r="184" spans="1:15" hidden="1" x14ac:dyDescent="0.35">
      <c r="A184" s="342" t="str">
        <f>'West Parc'!A18</f>
        <v>B10-L11</v>
      </c>
      <c r="B184" s="343">
        <f>'West Parc'!S18</f>
        <v>573</v>
      </c>
      <c r="C184" s="343">
        <f>'West Parc'!T18</f>
        <v>0</v>
      </c>
      <c r="D184" s="333">
        <f>VLOOKUP(A184,'[7]2-Lot Tagging'!$DQ$14:$DR$80,2,FALSE)</f>
        <v>19670000</v>
      </c>
      <c r="E184" s="333">
        <f>VLOOKUP(A184,'West Parc'!$A$2:$AV$28,(COLUMN('West Parc'!$AV$1)),FALSE)</f>
        <v>0</v>
      </c>
      <c r="F184" s="333">
        <f t="shared" si="11"/>
        <v>19670000</v>
      </c>
      <c r="G184" s="343">
        <f>'West Parc'!AD18</f>
        <v>0</v>
      </c>
      <c r="H184" s="344">
        <f t="shared" si="10"/>
        <v>22817200</v>
      </c>
      <c r="I184" s="343"/>
      <c r="J184" s="110"/>
      <c r="K184" s="110"/>
      <c r="L184" s="110"/>
      <c r="M184" s="345" t="s">
        <v>648</v>
      </c>
      <c r="N184" s="346"/>
      <c r="O184" s="350"/>
    </row>
    <row r="185" spans="1:15" hidden="1" x14ac:dyDescent="0.35">
      <c r="A185" s="342" t="str">
        <f>'West Parc'!A19</f>
        <v>B10-L9</v>
      </c>
      <c r="B185" s="343">
        <f>'West Parc'!S19</f>
        <v>407</v>
      </c>
      <c r="C185" s="343">
        <f>'West Parc'!T19</f>
        <v>0</v>
      </c>
      <c r="D185" s="333">
        <f>VLOOKUP(A185,'[7]2-Lot Tagging'!$DQ$14:$DR$80,2,FALSE)</f>
        <v>12700000</v>
      </c>
      <c r="E185" s="333">
        <f>VLOOKUP(A185,'West Parc'!$A$2:$AV$28,(COLUMN('West Parc'!$AV$1)),FALSE)</f>
        <v>0</v>
      </c>
      <c r="F185" s="333">
        <f t="shared" si="11"/>
        <v>12700000</v>
      </c>
      <c r="G185" s="343">
        <f>'West Parc'!AD19</f>
        <v>0</v>
      </c>
      <c r="H185" s="344">
        <f t="shared" si="10"/>
        <v>14732000</v>
      </c>
      <c r="I185" s="343"/>
      <c r="J185" s="110"/>
      <c r="K185" s="110"/>
      <c r="L185" s="110"/>
      <c r="M185" s="345" t="s">
        <v>648</v>
      </c>
      <c r="N185" s="346"/>
      <c r="O185" s="350"/>
    </row>
    <row r="186" spans="1:15" hidden="1" x14ac:dyDescent="0.35">
      <c r="A186" s="342" t="str">
        <f>'West Parc'!A20</f>
        <v>B11-L10</v>
      </c>
      <c r="B186" s="343">
        <f>'West Parc'!S20</f>
        <v>0</v>
      </c>
      <c r="C186" s="343">
        <f>'West Parc'!T20</f>
        <v>0</v>
      </c>
      <c r="D186" s="333">
        <f>VLOOKUP(A186,'[7]2-Lot Tagging'!$DQ$14:$DR$80,2,FALSE)</f>
        <v>13760000</v>
      </c>
      <c r="E186" s="333">
        <f>VLOOKUP(A186,'West Parc'!$A$2:$AV$28,(COLUMN('West Parc'!$AV$1)),FALSE)</f>
        <v>0</v>
      </c>
      <c r="F186" s="333">
        <f t="shared" si="11"/>
        <v>13760000</v>
      </c>
      <c r="G186" s="343">
        <f>'West Parc'!AD20</f>
        <v>0</v>
      </c>
      <c r="H186" s="344">
        <f t="shared" si="10"/>
        <v>15961600</v>
      </c>
      <c r="I186" s="343"/>
      <c r="J186" s="110"/>
      <c r="K186" s="110"/>
      <c r="L186" s="110"/>
      <c r="M186" s="345" t="s">
        <v>648</v>
      </c>
      <c r="N186" s="346"/>
    </row>
    <row r="187" spans="1:15" hidden="1" x14ac:dyDescent="0.35">
      <c r="A187" s="342" t="str">
        <f>'West Parc'!A21</f>
        <v>B11-L11</v>
      </c>
      <c r="B187" s="343">
        <f>'West Parc'!S21</f>
        <v>0</v>
      </c>
      <c r="C187" s="343">
        <f>'West Parc'!T21</f>
        <v>0</v>
      </c>
      <c r="D187" s="333">
        <f>VLOOKUP(A187,'[7]2-Lot Tagging'!$DQ$14:$DR$80,2,FALSE)</f>
        <v>18650000</v>
      </c>
      <c r="E187" s="333">
        <f>VLOOKUP(A187,'West Parc'!$A$2:$AV$28,(COLUMN('West Parc'!$AV$1)),FALSE)</f>
        <v>0</v>
      </c>
      <c r="F187" s="333">
        <f t="shared" si="11"/>
        <v>18650000</v>
      </c>
      <c r="G187" s="343">
        <f>'West Parc'!AD21</f>
        <v>0</v>
      </c>
      <c r="H187" s="344">
        <f t="shared" si="10"/>
        <v>21634000</v>
      </c>
      <c r="I187" s="343"/>
      <c r="J187" s="110"/>
      <c r="K187" s="110"/>
      <c r="L187" s="110"/>
      <c r="M187" s="345" t="s">
        <v>648</v>
      </c>
      <c r="N187" s="346"/>
    </row>
    <row r="188" spans="1:15" hidden="1" x14ac:dyDescent="0.35">
      <c r="A188" s="342" t="str">
        <f>'West Parc'!A22</f>
        <v>B11-L12</v>
      </c>
      <c r="B188" s="343">
        <f>'West Parc'!S22</f>
        <v>0</v>
      </c>
      <c r="C188" s="343">
        <f>'West Parc'!T22</f>
        <v>0</v>
      </c>
      <c r="D188" s="333">
        <f>VLOOKUP(A188,'[7]2-Lot Tagging'!$DQ$14:$DR$80,2,FALSE)</f>
        <v>13820000</v>
      </c>
      <c r="E188" s="333">
        <f>VLOOKUP(A188,'West Parc'!$A$2:$AV$28,(COLUMN('West Parc'!$AV$1)),FALSE)</f>
        <v>0</v>
      </c>
      <c r="F188" s="333">
        <f t="shared" si="11"/>
        <v>13820000</v>
      </c>
      <c r="G188" s="343">
        <f>'West Parc'!AD22</f>
        <v>0</v>
      </c>
      <c r="H188" s="344">
        <f t="shared" si="10"/>
        <v>16031200</v>
      </c>
      <c r="I188" s="343"/>
      <c r="J188" s="110"/>
      <c r="K188" s="110"/>
      <c r="L188" s="110"/>
      <c r="M188" s="345" t="s">
        <v>648</v>
      </c>
      <c r="N188" s="346"/>
    </row>
    <row r="189" spans="1:15" hidden="1" x14ac:dyDescent="0.35">
      <c r="A189" s="342" t="str">
        <f>'West Parc'!A23</f>
        <v>B11-L13</v>
      </c>
      <c r="B189" s="343">
        <f>'West Parc'!S23</f>
        <v>0</v>
      </c>
      <c r="C189" s="343">
        <f>'West Parc'!T23</f>
        <v>0</v>
      </c>
      <c r="D189" s="333">
        <f>VLOOKUP(A189,'[7]2-Lot Tagging'!$DQ$14:$DR$80,2,FALSE)</f>
        <v>13310000</v>
      </c>
      <c r="E189" s="333">
        <f>VLOOKUP(A189,'West Parc'!$A$2:$AV$28,(COLUMN('West Parc'!$AV$1)),FALSE)</f>
        <v>0</v>
      </c>
      <c r="F189" s="333">
        <f t="shared" si="11"/>
        <v>13310000</v>
      </c>
      <c r="G189" s="343">
        <f>'West Parc'!AD23</f>
        <v>0</v>
      </c>
      <c r="H189" s="344">
        <f t="shared" si="10"/>
        <v>15439600</v>
      </c>
      <c r="I189" s="343"/>
      <c r="J189" s="110"/>
      <c r="K189" s="110"/>
      <c r="L189" s="110"/>
      <c r="M189" s="345" t="s">
        <v>648</v>
      </c>
      <c r="N189" s="346"/>
    </row>
    <row r="190" spans="1:15" hidden="1" x14ac:dyDescent="0.35">
      <c r="A190" s="342" t="str">
        <f>'West Parc'!A24</f>
        <v>B11-L14</v>
      </c>
      <c r="B190" s="343">
        <f>'West Parc'!S24</f>
        <v>0</v>
      </c>
      <c r="C190" s="343">
        <f>'West Parc'!T24</f>
        <v>0</v>
      </c>
      <c r="D190" s="333">
        <f>VLOOKUP(A190,'[7]2-Lot Tagging'!$DQ$14:$DR$80,2,FALSE)</f>
        <v>14510000</v>
      </c>
      <c r="E190" s="333">
        <f>VLOOKUP(A190,'West Parc'!$A$2:$AV$28,(COLUMN('West Parc'!$AV$1)),FALSE)</f>
        <v>0</v>
      </c>
      <c r="F190" s="333">
        <f t="shared" si="11"/>
        <v>14510000</v>
      </c>
      <c r="G190" s="343">
        <f>'West Parc'!AD24</f>
        <v>0</v>
      </c>
      <c r="H190" s="344">
        <f t="shared" si="10"/>
        <v>16831600</v>
      </c>
      <c r="I190" s="343"/>
      <c r="J190" s="110"/>
      <c r="K190" s="110"/>
      <c r="L190" s="110"/>
      <c r="M190" s="345" t="s">
        <v>648</v>
      </c>
      <c r="N190" s="346"/>
    </row>
    <row r="191" spans="1:15" hidden="1" x14ac:dyDescent="0.35">
      <c r="A191" s="342" t="str">
        <f>'West Parc'!A25</f>
        <v>B11-L15</v>
      </c>
      <c r="B191" s="343">
        <f>'West Parc'!S25</f>
        <v>0</v>
      </c>
      <c r="C191" s="343">
        <f>'West Parc'!T25</f>
        <v>0</v>
      </c>
      <c r="D191" s="333">
        <f>VLOOKUP(A191,'[7]2-Lot Tagging'!$DQ$14:$DR$80,2,FALSE)</f>
        <v>13510000</v>
      </c>
      <c r="E191" s="333">
        <f>VLOOKUP(A191,'West Parc'!$A$2:$AV$28,(COLUMN('West Parc'!$AV$1)),FALSE)</f>
        <v>0</v>
      </c>
      <c r="F191" s="333">
        <f t="shared" si="11"/>
        <v>13510000</v>
      </c>
      <c r="G191" s="343">
        <f>'West Parc'!AD25</f>
        <v>0</v>
      </c>
      <c r="H191" s="344">
        <f t="shared" si="10"/>
        <v>15671600</v>
      </c>
      <c r="I191" s="343"/>
      <c r="J191" s="110"/>
      <c r="K191" s="110"/>
      <c r="L191" s="110"/>
      <c r="M191" s="345" t="s">
        <v>648</v>
      </c>
      <c r="N191" s="346"/>
    </row>
    <row r="192" spans="1:15" hidden="1" x14ac:dyDescent="0.35">
      <c r="A192" s="342" t="str">
        <f>'West Parc'!A26</f>
        <v>B11-L16</v>
      </c>
      <c r="B192" s="343">
        <f>'West Parc'!S26</f>
        <v>447</v>
      </c>
      <c r="C192" s="343">
        <f>'West Parc'!T26</f>
        <v>0</v>
      </c>
      <c r="D192" s="333">
        <f>VLOOKUP(A192,'[7]2-Lot Tagging'!$DQ$14:$DR$80,2,FALSE)</f>
        <v>15350000</v>
      </c>
      <c r="E192" s="333">
        <f>VLOOKUP(A192,'West Parc'!$A$2:$AV$28,(COLUMN('West Parc'!$AV$1)),FALSE)</f>
        <v>0</v>
      </c>
      <c r="F192" s="333">
        <f t="shared" si="11"/>
        <v>15350000</v>
      </c>
      <c r="G192" s="343">
        <f>'West Parc'!AD26</f>
        <v>0</v>
      </c>
      <c r="H192" s="344">
        <f t="shared" si="10"/>
        <v>17806000</v>
      </c>
      <c r="I192" s="343"/>
      <c r="J192" s="110"/>
      <c r="K192" s="110"/>
      <c r="L192" s="110"/>
      <c r="M192" s="345" t="s">
        <v>648</v>
      </c>
      <c r="N192" s="346"/>
    </row>
    <row r="193" spans="1:14" hidden="1" x14ac:dyDescent="0.35">
      <c r="A193" s="342" t="str">
        <f>'West Parc'!A27</f>
        <v>B13-L4</v>
      </c>
      <c r="B193" s="351">
        <f>'West Parc'!S27</f>
        <v>522</v>
      </c>
      <c r="C193" s="351">
        <f>'West Parc'!T27</f>
        <v>0</v>
      </c>
      <c r="D193" s="333">
        <f>VLOOKUP(A193,'[7]2-Lot Tagging'!$DQ$14:$DR$80,2,FALSE)</f>
        <v>16290000</v>
      </c>
      <c r="E193" s="333">
        <f>VLOOKUP(A193,'West Parc'!$A$2:$AV$28,(COLUMN('West Parc'!$AV$1)),FALSE)</f>
        <v>0</v>
      </c>
      <c r="F193" s="333">
        <f t="shared" si="11"/>
        <v>16290000</v>
      </c>
      <c r="G193" s="351">
        <f>'West Parc'!AD27</f>
        <v>0</v>
      </c>
      <c r="H193" s="334">
        <f t="shared" si="10"/>
        <v>18896400</v>
      </c>
      <c r="I193" s="352"/>
      <c r="M193" s="353" t="s">
        <v>648</v>
      </c>
      <c r="N193" s="354"/>
    </row>
    <row r="194" spans="1:14" hidden="1" x14ac:dyDescent="0.35">
      <c r="A194" s="342" t="str">
        <f>'West Parc'!A28</f>
        <v>B13-L5</v>
      </c>
      <c r="B194" s="351">
        <f>'West Parc'!S28</f>
        <v>591</v>
      </c>
      <c r="C194" s="351">
        <f>'West Parc'!T28</f>
        <v>0</v>
      </c>
      <c r="D194" s="333">
        <f>VLOOKUP(A194,'[7]2-Lot Tagging'!$DQ$14:$DR$80,2,FALSE)</f>
        <v>15680000</v>
      </c>
      <c r="E194" s="333">
        <f>VLOOKUP(A194,'West Parc'!$A$2:$AV$28,(COLUMN('West Parc'!$AV$1)),FALSE)</f>
        <v>0</v>
      </c>
      <c r="F194" s="333">
        <f t="shared" si="11"/>
        <v>15680000</v>
      </c>
      <c r="G194" s="351">
        <f>'West Parc'!AD28</f>
        <v>0</v>
      </c>
      <c r="H194" s="334">
        <f t="shared" si="10"/>
        <v>18188800</v>
      </c>
      <c r="I194" s="352"/>
      <c r="M194" s="353" t="s">
        <v>648</v>
      </c>
      <c r="N194" s="354"/>
    </row>
    <row r="195" spans="1:14" x14ac:dyDescent="0.35">
      <c r="A195" s="347" t="s">
        <v>622</v>
      </c>
      <c r="B195" s="348"/>
      <c r="C195" s="348"/>
      <c r="D195" s="348"/>
      <c r="E195" s="348"/>
      <c r="F195" s="348"/>
      <c r="G195" s="348"/>
      <c r="H195" s="349"/>
      <c r="I195" s="324"/>
      <c r="J195" s="324"/>
      <c r="K195" s="324"/>
      <c r="L195" s="324"/>
      <c r="M195" s="349"/>
      <c r="N195" s="326"/>
    </row>
    <row r="196" spans="1:14" s="330" customFormat="1" x14ac:dyDescent="0.35">
      <c r="A196" s="61" t="s">
        <v>616</v>
      </c>
      <c r="B196" s="327" t="s">
        <v>574</v>
      </c>
      <c r="C196" s="327" t="s">
        <v>617</v>
      </c>
      <c r="D196" s="327" t="s">
        <v>31</v>
      </c>
      <c r="E196" s="327" t="s">
        <v>48</v>
      </c>
      <c r="F196" s="327" t="s">
        <v>618</v>
      </c>
      <c r="G196" s="327" t="s">
        <v>573</v>
      </c>
      <c r="H196" s="329" t="s">
        <v>619</v>
      </c>
      <c r="I196" s="327" t="s">
        <v>618</v>
      </c>
      <c r="M196" s="328" t="s">
        <v>21</v>
      </c>
      <c r="N196" s="331"/>
    </row>
    <row r="197" spans="1:14" x14ac:dyDescent="0.35">
      <c r="A197" s="332" t="str">
        <f>Meridien!A2</f>
        <v>B2-L13</v>
      </c>
      <c r="B197" s="351">
        <f>Meridien!S2</f>
        <v>1309</v>
      </c>
      <c r="C197" s="351">
        <f>Meridien!T2</f>
        <v>0</v>
      </c>
      <c r="D197" s="351">
        <f>VLOOKUP(A197,'[8]2-Lot Tagging'!$DQ$14:$DR$56,2,FALSE)</f>
        <v>46070000</v>
      </c>
      <c r="E197" s="351">
        <f>VLOOKUP(A197,Meridien!$A$2:$AV$7,48,FALSE)</f>
        <v>0</v>
      </c>
      <c r="F197" s="351">
        <f t="shared" ref="F197:F202" si="12">D197+E197</f>
        <v>46070000</v>
      </c>
      <c r="G197" s="351">
        <f>Meridien!AD2</f>
        <v>0</v>
      </c>
      <c r="H197" s="334">
        <f>ROUND((F197*1.16)+G197,-2)</f>
        <v>53441200</v>
      </c>
      <c r="I197" s="351">
        <v>27831958</v>
      </c>
      <c r="J197" s="355" t="s">
        <v>641</v>
      </c>
      <c r="K197" s="356">
        <f>(I197+I198)/(B197+B198)</f>
        <v>20473.196319018403</v>
      </c>
      <c r="L197" s="357" t="s">
        <v>643</v>
      </c>
      <c r="M197" s="353" t="s">
        <v>647</v>
      </c>
      <c r="N197" s="354"/>
    </row>
    <row r="198" spans="1:14" x14ac:dyDescent="0.35">
      <c r="A198" s="332" t="str">
        <f>Meridien!A3</f>
        <v>B4-L1</v>
      </c>
      <c r="B198" s="351">
        <f>Meridien!S3</f>
        <v>973</v>
      </c>
      <c r="C198" s="351">
        <f>Meridien!T3</f>
        <v>0</v>
      </c>
      <c r="D198" s="351">
        <f>VLOOKUP(A198,'[8]2-Lot Tagging'!$DQ$14:$DR$56,2,FALSE)</f>
        <v>31270000</v>
      </c>
      <c r="E198" s="351">
        <f>VLOOKUP(A198,Meridien!$A$2:$AV$7,48,FALSE)</f>
        <v>0</v>
      </c>
      <c r="F198" s="351">
        <f t="shared" si="12"/>
        <v>31270000</v>
      </c>
      <c r="G198" s="351">
        <f>Meridien!AD3</f>
        <v>0</v>
      </c>
      <c r="H198" s="334">
        <f t="shared" si="10"/>
        <v>36273200</v>
      </c>
      <c r="I198" s="351">
        <v>18887876</v>
      </c>
      <c r="J198" s="355" t="s">
        <v>642</v>
      </c>
      <c r="K198" s="356">
        <f>(F197+F198)/(B197+B198)</f>
        <v>33891.323400525856</v>
      </c>
      <c r="L198" s="358">
        <f>(K198-K197)/K197</f>
        <v>0.65539971738769476</v>
      </c>
      <c r="M198" s="353" t="s">
        <v>647</v>
      </c>
      <c r="N198" s="354"/>
    </row>
    <row r="199" spans="1:14" hidden="1" x14ac:dyDescent="0.35">
      <c r="A199" s="332" t="str">
        <f>Meridien!A4</f>
        <v>B5-L13</v>
      </c>
      <c r="B199" s="351">
        <f>Meridien!S4</f>
        <v>1060</v>
      </c>
      <c r="C199" s="351">
        <f>Meridien!T4</f>
        <v>0</v>
      </c>
      <c r="D199" s="351">
        <f>VLOOKUP(A199,'[8]2-Lot Tagging'!$DQ$14:$DR$56,2,FALSE)</f>
        <v>38930000</v>
      </c>
      <c r="E199" s="351">
        <f>VLOOKUP(A199,Meridien!$A$2:$AV$7,48,FALSE)</f>
        <v>0</v>
      </c>
      <c r="F199" s="351">
        <f t="shared" si="12"/>
        <v>38930000</v>
      </c>
      <c r="G199" s="351">
        <f>Meridien!AD4</f>
        <v>0</v>
      </c>
      <c r="H199" s="334">
        <f t="shared" si="10"/>
        <v>45158800</v>
      </c>
      <c r="I199" s="351">
        <v>23523520</v>
      </c>
      <c r="M199" s="353" t="s">
        <v>648</v>
      </c>
      <c r="N199" s="354"/>
    </row>
    <row r="200" spans="1:14" ht="16.5" hidden="1" customHeight="1" x14ac:dyDescent="0.35">
      <c r="A200" s="332" t="str">
        <f>Meridien!A5</f>
        <v>B5-L14</v>
      </c>
      <c r="B200" s="351">
        <f>Meridien!S5</f>
        <v>959</v>
      </c>
      <c r="C200" s="351">
        <f>Meridien!T5</f>
        <v>0</v>
      </c>
      <c r="D200" s="351">
        <f>VLOOKUP(A200,'[8]2-Lot Tagging'!$DQ$14:$DR$56,2,FALSE)</f>
        <v>35220000</v>
      </c>
      <c r="E200" s="351">
        <f>VLOOKUP(A200,Meridien!$A$2:$AV$7,48,FALSE)</f>
        <v>0</v>
      </c>
      <c r="F200" s="351">
        <f t="shared" si="12"/>
        <v>35220000</v>
      </c>
      <c r="G200" s="351">
        <f>Meridien!AD5</f>
        <v>0</v>
      </c>
      <c r="H200" s="334">
        <f t="shared" si="10"/>
        <v>40855200</v>
      </c>
      <c r="I200" s="351">
        <v>21282128</v>
      </c>
      <c r="M200" s="353" t="s">
        <v>648</v>
      </c>
      <c r="N200" s="354"/>
    </row>
    <row r="201" spans="1:14" hidden="1" x14ac:dyDescent="0.35">
      <c r="A201" s="359" t="str">
        <f>Meridien!A6</f>
        <v>B2A-L1</v>
      </c>
      <c r="B201" s="360">
        <f>Meridien!S6</f>
        <v>984</v>
      </c>
      <c r="C201" s="360">
        <f>Meridien!T6</f>
        <v>0</v>
      </c>
      <c r="D201" s="351">
        <f>VLOOKUP(A201,'[8]2-Lot Tagging'!$DQ$14:$DR$56,2,FALSE)</f>
        <v>30120000</v>
      </c>
      <c r="E201" s="351">
        <f>VLOOKUP(A201,Meridien!$A$2:$AV$7,48,FALSE)</f>
        <v>0</v>
      </c>
      <c r="F201" s="351">
        <f t="shared" si="12"/>
        <v>30120000</v>
      </c>
      <c r="G201" s="360">
        <f>Meridien!AD6</f>
        <v>0</v>
      </c>
      <c r="H201" s="361">
        <f>ROUND((F201*1.16)+G201,-2)</f>
        <v>34939200</v>
      </c>
      <c r="I201" s="360">
        <v>21282128</v>
      </c>
      <c r="J201" s="235"/>
      <c r="K201" s="235"/>
      <c r="L201" s="235"/>
      <c r="M201" s="362" t="s">
        <v>648</v>
      </c>
      <c r="N201" s="363"/>
    </row>
    <row r="202" spans="1:14" hidden="1" x14ac:dyDescent="0.35">
      <c r="A202" s="359" t="str">
        <f>Meridien!A7</f>
        <v>B5-L2</v>
      </c>
      <c r="B202" s="360">
        <f>Meridien!S7</f>
        <v>919</v>
      </c>
      <c r="C202" s="360">
        <f>Meridien!T7</f>
        <v>0</v>
      </c>
      <c r="D202" s="351">
        <f>VLOOKUP(A202,'[8]2-Lot Tagging'!$DQ$14:$DR$56,2,FALSE)</f>
        <v>28130000</v>
      </c>
      <c r="E202" s="351">
        <f>VLOOKUP(A202,Meridien!$A$2:$AV$7,48,FALSE)</f>
        <v>0</v>
      </c>
      <c r="F202" s="351">
        <f t="shared" si="12"/>
        <v>28130000</v>
      </c>
      <c r="G202" s="360">
        <f>Meridien!AD7</f>
        <v>0</v>
      </c>
      <c r="H202" s="361">
        <f>ROUND((F202*1.16)+G202,-2)</f>
        <v>32630800</v>
      </c>
      <c r="I202" s="360">
        <v>21282128</v>
      </c>
      <c r="J202" s="235"/>
      <c r="K202" s="235"/>
      <c r="L202" s="235"/>
      <c r="M202" s="362" t="s">
        <v>648</v>
      </c>
      <c r="N202" s="363"/>
    </row>
    <row r="203" spans="1:14" x14ac:dyDescent="0.35">
      <c r="A203" s="347" t="s">
        <v>615</v>
      </c>
      <c r="B203" s="348"/>
      <c r="C203" s="348"/>
      <c r="D203" s="348"/>
      <c r="E203" s="348"/>
      <c r="F203" s="348"/>
      <c r="G203" s="348"/>
      <c r="H203" s="349"/>
      <c r="I203" s="324"/>
      <c r="J203" s="324"/>
      <c r="K203" s="324"/>
      <c r="L203" s="324"/>
      <c r="M203" s="349"/>
      <c r="N203" s="326"/>
    </row>
    <row r="204" spans="1:14" s="330" customFormat="1" x14ac:dyDescent="0.35">
      <c r="A204" s="61" t="s">
        <v>616</v>
      </c>
      <c r="B204" s="327" t="s">
        <v>574</v>
      </c>
      <c r="C204" s="328" t="s">
        <v>617</v>
      </c>
      <c r="D204" s="327" t="s">
        <v>31</v>
      </c>
      <c r="E204" s="327" t="s">
        <v>48</v>
      </c>
      <c r="F204" s="328" t="s">
        <v>618</v>
      </c>
      <c r="G204" s="328" t="s">
        <v>573</v>
      </c>
      <c r="H204" s="365" t="s">
        <v>619</v>
      </c>
      <c r="I204" s="328" t="s">
        <v>618</v>
      </c>
      <c r="M204" s="328" t="s">
        <v>21</v>
      </c>
      <c r="N204" s="331"/>
    </row>
    <row r="205" spans="1:14" ht="29" x14ac:dyDescent="0.35">
      <c r="A205" s="366" t="str">
        <f>'Prominence II'!A2</f>
        <v>Blk. 2 Unit no. 16, Inner Unit, Plan 1, Bldg. 2 Plan 1 RFO</v>
      </c>
      <c r="B205" s="367">
        <f>0</f>
        <v>0</v>
      </c>
      <c r="C205" s="367">
        <f>'Prominence II'!H2</f>
        <v>134.87</v>
      </c>
      <c r="D205" s="367">
        <v>0</v>
      </c>
      <c r="E205" s="367">
        <f>VLOOKUP(A205,'Prominence II'!$A$2:$J$72,(COLUMN('Prominence II'!$J$1)),FALSE)</f>
        <v>15920000</v>
      </c>
      <c r="F205" s="367">
        <f>D205+E205</f>
        <v>15920000</v>
      </c>
      <c r="G205" s="367">
        <f>'Prominence II'!L2</f>
        <v>50000</v>
      </c>
      <c r="H205" s="368">
        <f t="shared" ref="H205:H214" si="13">ROUND((F205*1.16)+G205,-2)</f>
        <v>18517200</v>
      </c>
      <c r="I205" s="367">
        <v>9045056.5500000007</v>
      </c>
      <c r="J205" s="369"/>
      <c r="K205" s="369"/>
      <c r="L205" s="369"/>
      <c r="M205" s="353" t="s">
        <v>647</v>
      </c>
      <c r="N205" s="354"/>
    </row>
    <row r="206" spans="1:14" ht="29" hidden="1" x14ac:dyDescent="0.35">
      <c r="A206" s="370" t="str">
        <f>'Prominence II'!A3</f>
        <v>Blk. 3 Unit no. 18, End Unit, Plan 3A, Bldg. 2 Plan 3A RFO</v>
      </c>
      <c r="B206" s="371">
        <f>0</f>
        <v>0</v>
      </c>
      <c r="C206" s="371">
        <f>'Prominence II'!H3</f>
        <v>209.82</v>
      </c>
      <c r="D206" s="371"/>
      <c r="E206" s="367">
        <f>VLOOKUP(A206,'Prominence II'!$A$2:$J$72,(COLUMN('Prominence II'!$J$1)),FALSE)</f>
        <v>25920000</v>
      </c>
      <c r="F206" s="367">
        <f t="shared" ref="F206:F215" si="14">D206+E206</f>
        <v>25920000</v>
      </c>
      <c r="G206" s="371">
        <f>'Prominence II'!L3</f>
        <v>50000</v>
      </c>
      <c r="H206" s="372">
        <f>ROUND((F206*1.16)+G206,-2)</f>
        <v>30117200</v>
      </c>
      <c r="I206" s="371">
        <v>14730413.1</v>
      </c>
      <c r="J206" s="373"/>
      <c r="K206" s="373"/>
      <c r="L206" s="373"/>
      <c r="M206" s="374" t="s">
        <v>648</v>
      </c>
      <c r="N206" s="341"/>
    </row>
    <row r="207" spans="1:14" ht="43.5" hidden="1" x14ac:dyDescent="0.35">
      <c r="A207" s="366" t="str">
        <f>'Prominence II'!A4</f>
        <v>Blk. 1 Unit no. 3, Inner Unit, Plan 1, Bldg. 2 Plan 1 MODEL UNIT</v>
      </c>
      <c r="B207" s="367">
        <f>0</f>
        <v>0</v>
      </c>
      <c r="C207" s="367">
        <f>'Prominence II'!H4</f>
        <v>134.87</v>
      </c>
      <c r="D207" s="367"/>
      <c r="E207" s="367">
        <f>VLOOKUP(A207,'Prominence II'!$A$2:$J$72,(COLUMN('Prominence II'!$J$1)),FALSE)</f>
        <v>13390000</v>
      </c>
      <c r="F207" s="367">
        <f t="shared" si="14"/>
        <v>13390000</v>
      </c>
      <c r="G207" s="367">
        <f>'Prominence II'!L4</f>
        <v>980000</v>
      </c>
      <c r="H207" s="368">
        <f t="shared" si="13"/>
        <v>16512400</v>
      </c>
      <c r="I207" s="367">
        <v>7607342.3499999996</v>
      </c>
      <c r="J207" s="369"/>
      <c r="K207" s="369"/>
      <c r="L207" s="369"/>
      <c r="M207" s="335" t="s">
        <v>648</v>
      </c>
      <c r="N207" s="336"/>
    </row>
    <row r="208" spans="1:14" ht="29" x14ac:dyDescent="0.35">
      <c r="A208" s="366" t="str">
        <f>'Prominence II'!A5</f>
        <v>Blk. 1 Unit no. 11, Inner Unit, Plan 1, Bldg. 2 Plan 1 RFO</v>
      </c>
      <c r="B208" s="367">
        <f>0</f>
        <v>0</v>
      </c>
      <c r="C208" s="367">
        <f>'Prominence II'!H5</f>
        <v>134.87</v>
      </c>
      <c r="D208" s="367">
        <v>0</v>
      </c>
      <c r="E208" s="367">
        <f>VLOOKUP(A208,'Prominence II'!$A$2:$J$72,(COLUMN('Prominence II'!$J$1)),FALSE)</f>
        <v>15920000</v>
      </c>
      <c r="F208" s="367">
        <f t="shared" si="14"/>
        <v>15920000</v>
      </c>
      <c r="G208" s="367">
        <f>'Prominence II'!L5</f>
        <v>50000</v>
      </c>
      <c r="H208" s="368">
        <f t="shared" si="13"/>
        <v>18517200</v>
      </c>
      <c r="I208" s="367">
        <v>9045056.5500000007</v>
      </c>
      <c r="J208" s="369"/>
      <c r="K208" s="369"/>
      <c r="L208" s="369"/>
      <c r="M208" s="353" t="s">
        <v>647</v>
      </c>
      <c r="N208" s="354"/>
    </row>
    <row r="209" spans="1:14" ht="29" hidden="1" x14ac:dyDescent="0.35">
      <c r="A209" s="366" t="str">
        <f>'Prominence II'!A6</f>
        <v>Blk. 2 Unit no. 19, End Unit, Plan 3A, Bldg. 2 Plan 3 RFO</v>
      </c>
      <c r="B209" s="367">
        <f>0</f>
        <v>0</v>
      </c>
      <c r="C209" s="367">
        <f>'Prominence II'!H6</f>
        <v>209.82</v>
      </c>
      <c r="D209" s="367">
        <v>0</v>
      </c>
      <c r="E209" s="367">
        <f>VLOOKUP(A209,'Prominence II'!$A$2:$J$72,(COLUMN('Prominence II'!$J$1)),FALSE)</f>
        <v>23600000</v>
      </c>
      <c r="F209" s="367">
        <f t="shared" si="14"/>
        <v>23600000</v>
      </c>
      <c r="G209" s="367">
        <f>'Prominence II'!L6</f>
        <v>50000</v>
      </c>
      <c r="H209" s="368">
        <f t="shared" si="13"/>
        <v>27426000</v>
      </c>
      <c r="I209" s="367">
        <v>13414841.699999999</v>
      </c>
      <c r="J209" s="369"/>
      <c r="K209" s="369"/>
      <c r="L209" s="369"/>
      <c r="M209" s="353" t="s">
        <v>648</v>
      </c>
      <c r="N209" s="354"/>
    </row>
    <row r="210" spans="1:14" ht="43.5" x14ac:dyDescent="0.35">
      <c r="A210" s="366" t="str">
        <f>'Prominence II'!A7</f>
        <v>Blk. 2 Unit no. 21, Inner Unit, Plan 1, Bldg. 2 Plan 1 MODEL UNIT</v>
      </c>
      <c r="B210" s="367">
        <f>0</f>
        <v>0</v>
      </c>
      <c r="C210" s="367">
        <f>'Prominence II'!H7</f>
        <v>134.87</v>
      </c>
      <c r="D210" s="367">
        <v>0</v>
      </c>
      <c r="E210" s="367">
        <f>VLOOKUP(A210,'Prominence II'!$A$2:$J$72,(COLUMN('Prominence II'!$J$1)),FALSE)</f>
        <v>14430000</v>
      </c>
      <c r="F210" s="367">
        <f t="shared" si="14"/>
        <v>14430000</v>
      </c>
      <c r="G210" s="367">
        <f>'Prominence II'!L7*2</f>
        <v>645726.36</v>
      </c>
      <c r="H210" s="368">
        <f>ROUND((F210*1.16)+G210,-2)</f>
        <v>17384500</v>
      </c>
      <c r="I210" s="367">
        <v>8199421.6500000004</v>
      </c>
      <c r="J210" s="369"/>
      <c r="K210" s="369"/>
      <c r="L210" s="369"/>
      <c r="M210" s="353" t="s">
        <v>647</v>
      </c>
      <c r="N210" s="354"/>
    </row>
    <row r="211" spans="1:14" ht="43.5" hidden="1" x14ac:dyDescent="0.35">
      <c r="A211" s="366" t="str">
        <f>'Prominence II'!A8</f>
        <v>Blk. 2 Unit no. 23, End Unit, Plan 3, Bldg. 2 Plan 3 MODEL UNIT</v>
      </c>
      <c r="B211" s="367">
        <f>0</f>
        <v>0</v>
      </c>
      <c r="C211" s="367">
        <f>'Prominence II'!H8</f>
        <v>209.82</v>
      </c>
      <c r="D211" s="367">
        <v>0</v>
      </c>
      <c r="E211" s="367">
        <f>VLOOKUP(A211,'Prominence II'!$A$2:$J$72,(COLUMN('Prominence II'!$J$1)),FALSE)</f>
        <v>25920000</v>
      </c>
      <c r="F211" s="367">
        <f t="shared" si="14"/>
        <v>25920000</v>
      </c>
      <c r="G211" s="367">
        <f>536608.54*2</f>
        <v>1073217.08</v>
      </c>
      <c r="H211" s="368">
        <f>ROUND((F211*1.16)+G211,-2)</f>
        <v>31140400</v>
      </c>
      <c r="I211" s="367">
        <v>14730413.1</v>
      </c>
      <c r="J211" s="369"/>
      <c r="K211" s="369"/>
      <c r="L211" s="369"/>
      <c r="M211" s="353" t="s">
        <v>648</v>
      </c>
      <c r="N211" s="354"/>
    </row>
    <row r="212" spans="1:14" ht="29" x14ac:dyDescent="0.35">
      <c r="A212" s="366" t="str">
        <f>'Prominence II'!A9</f>
        <v>Blk. 1B Unit no. 16, End Unit, Plan 7, Duplex 2 Plan 7 RFO</v>
      </c>
      <c r="B212" s="367">
        <f>0</f>
        <v>0</v>
      </c>
      <c r="C212" s="367">
        <f>'Prominence II'!H9</f>
        <v>212.12</v>
      </c>
      <c r="D212" s="367">
        <v>0</v>
      </c>
      <c r="E212" s="367">
        <f>VLOOKUP(A212,'Prominence II'!$A$2:$J$72,(COLUMN('Prominence II'!$J$1)),FALSE)</f>
        <v>25030000</v>
      </c>
      <c r="F212" s="367">
        <f t="shared" si="14"/>
        <v>25030000</v>
      </c>
      <c r="G212" s="367">
        <f>'Prominence II'!L9</f>
        <v>50000</v>
      </c>
      <c r="H212" s="368">
        <f t="shared" si="13"/>
        <v>29084800</v>
      </c>
      <c r="I212" s="367">
        <v>14227949</v>
      </c>
      <c r="J212" s="369"/>
      <c r="K212" s="369"/>
      <c r="L212" s="369"/>
      <c r="M212" s="353" t="s">
        <v>647</v>
      </c>
      <c r="N212" s="354"/>
    </row>
    <row r="213" spans="1:14" ht="43.5" x14ac:dyDescent="0.35">
      <c r="A213" s="366" t="str">
        <f>'Prominence II'!A10</f>
        <v>Blk. 1B Unit no. 18, End Unit, Plan 5, Duplex 1 Plan 5 MODEL UNIT</v>
      </c>
      <c r="B213" s="367">
        <f>0</f>
        <v>0</v>
      </c>
      <c r="C213" s="367">
        <f>'Prominence II'!H10</f>
        <v>214.84</v>
      </c>
      <c r="D213" s="367">
        <v>0</v>
      </c>
      <c r="E213" s="367">
        <f>VLOOKUP(A213,'Prominence II'!$A$2:$J$72,(COLUMN('Prominence II'!$J$1)),FALSE)</f>
        <v>25350000</v>
      </c>
      <c r="F213" s="367">
        <f t="shared" si="14"/>
        <v>25350000</v>
      </c>
      <c r="G213" s="367">
        <f>[9]retain!$A$11*2</f>
        <v>421710</v>
      </c>
      <c r="H213" s="368">
        <f t="shared" si="13"/>
        <v>29827700</v>
      </c>
      <c r="I213" s="367">
        <v>14410393</v>
      </c>
      <c r="J213" s="369"/>
      <c r="K213" s="369"/>
      <c r="L213" s="369"/>
      <c r="M213" s="353" t="s">
        <v>647</v>
      </c>
      <c r="N213" s="354"/>
    </row>
    <row r="214" spans="1:14" ht="43.5" x14ac:dyDescent="0.35">
      <c r="A214" s="366" t="str">
        <f>'Prominence II'!A11</f>
        <v>Blk. 1B Unit no. 19, End Unit, Plan 4, Duplex 1 Plan 4 MODEL UNIT</v>
      </c>
      <c r="B214" s="367">
        <f>0</f>
        <v>0</v>
      </c>
      <c r="C214" s="367">
        <f>'Prominence II'!H11</f>
        <v>195.08</v>
      </c>
      <c r="D214" s="367">
        <v>0</v>
      </c>
      <c r="E214" s="367">
        <f>VLOOKUP(A214,'Prominence II'!$A$2:$J$72,(COLUMN('Prominence II'!$J$1)),FALSE)</f>
        <v>23020000</v>
      </c>
      <c r="F214" s="367">
        <f t="shared" si="14"/>
        <v>23020000</v>
      </c>
      <c r="G214" s="367">
        <f>[9]retain!$B$17*2</f>
        <v>480120</v>
      </c>
      <c r="H214" s="368">
        <f t="shared" si="13"/>
        <v>27183300</v>
      </c>
      <c r="I214" s="367">
        <v>13084991</v>
      </c>
      <c r="J214" s="375" t="s">
        <v>641</v>
      </c>
      <c r="K214" s="376">
        <f>(I205+I208+I209+I210+I211+I212+I213+I214+I215)/(C205+C208+C209+C210+C211+C212+C213+C214+C215)</f>
        <v>66156.121405308455</v>
      </c>
      <c r="L214" s="377" t="s">
        <v>643</v>
      </c>
      <c r="M214" s="353" t="s">
        <v>647</v>
      </c>
      <c r="N214" s="354"/>
    </row>
    <row r="215" spans="1:14" ht="29" x14ac:dyDescent="0.35">
      <c r="A215" s="366" t="str">
        <f>'Prominence II'!A12</f>
        <v>Blk. 3A Unit no. 27, End Unit, Plan 5, Duplex 1 Plan 5 RFO</v>
      </c>
      <c r="B215" s="367">
        <f>0</f>
        <v>0</v>
      </c>
      <c r="C215" s="367">
        <f>'Prominence II'!H12</f>
        <v>214.84</v>
      </c>
      <c r="D215" s="367">
        <v>0</v>
      </c>
      <c r="E215" s="367">
        <f>VLOOKUP(A215,'Prominence II'!$A$2:$J$72,(COLUMN('Prominence II'!$J$1)),FALSE)</f>
        <v>24170000</v>
      </c>
      <c r="F215" s="367">
        <f t="shared" si="14"/>
        <v>24170000</v>
      </c>
      <c r="G215" s="367">
        <f>'Prominence II'!L12</f>
        <v>50000</v>
      </c>
      <c r="H215" s="368">
        <f>ROUND((F215*1.16)+G215,-2)</f>
        <v>28087200</v>
      </c>
      <c r="I215" s="367">
        <v>13735795.4</v>
      </c>
      <c r="J215" s="375" t="s">
        <v>642</v>
      </c>
      <c r="K215" s="376">
        <f>(F205+F208+F209+F210+F211+F212+F213+F214+F215)/(C205+C208+C209+C210+C211+C212+C213+C214+C215)</f>
        <v>116402.68973530069</v>
      </c>
      <c r="L215" s="377">
        <f>(K215-K214)/K214</f>
        <v>0.75951502691873929</v>
      </c>
      <c r="M215" s="353" t="s">
        <v>647</v>
      </c>
      <c r="N215" s="354"/>
    </row>
    <row r="216" spans="1:14" s="386" customFormat="1" ht="15" hidden="1" thickBot="1" x14ac:dyDescent="0.4">
      <c r="A216" s="378" t="e">
        <f>'Prominence II'!A13</f>
        <v>#REF!</v>
      </c>
      <c r="B216" s="379">
        <f>0</f>
        <v>0</v>
      </c>
      <c r="C216" s="379" t="e">
        <f>'Prominence II'!H13</f>
        <v>#REF!</v>
      </c>
      <c r="D216" s="379"/>
      <c r="E216" s="379"/>
      <c r="F216" s="379">
        <v>19502961.359999999</v>
      </c>
      <c r="G216" s="379">
        <f>'Prominence II'!L13</f>
        <v>0</v>
      </c>
      <c r="H216" s="380">
        <f t="shared" ref="H216:H275" si="15">ROUND((F216*1.16)+G216,-2)</f>
        <v>22623400</v>
      </c>
      <c r="I216" s="379">
        <v>13735796.4</v>
      </c>
      <c r="J216" s="381" t="s">
        <v>642</v>
      </c>
      <c r="K216" s="382" t="e">
        <f t="shared" ref="K216:K275" si="16">(F206+F209+F210+F211+F212+F213+F214+F215+F216)/(C206+C209+C210+C211+C212+C213+C214+C215+C216)</f>
        <v>#REF!</v>
      </c>
      <c r="L216" s="383" t="e">
        <f t="shared" ref="L216:L275" si="17">(K216-K215)/K215</f>
        <v>#REF!</v>
      </c>
      <c r="M216" s="384" t="s">
        <v>648</v>
      </c>
      <c r="N216" s="385"/>
    </row>
    <row r="217" spans="1:14" s="110" customFormat="1" ht="29.5" hidden="1" thickBot="1" x14ac:dyDescent="0.4">
      <c r="A217" s="387" t="str">
        <f>'Prominence II'!A14</f>
        <v xml:space="preserve">B2 Unit no. 20, End Unit, Plan 3A, Bldg.2 Plan 3 </v>
      </c>
      <c r="B217" s="388">
        <f>0</f>
        <v>0</v>
      </c>
      <c r="C217" s="388">
        <f>'Prominence II'!H14</f>
        <v>209.82</v>
      </c>
      <c r="D217" s="388"/>
      <c r="E217" s="388"/>
      <c r="F217" s="388">
        <v>19502962.359999999</v>
      </c>
      <c r="G217" s="388">
        <f>'Prominence II'!L14</f>
        <v>0</v>
      </c>
      <c r="H217" s="389">
        <f t="shared" si="15"/>
        <v>22623400</v>
      </c>
      <c r="I217" s="388">
        <v>13735797.4</v>
      </c>
      <c r="J217" s="390" t="s">
        <v>642</v>
      </c>
      <c r="K217" s="391" t="e">
        <f t="shared" si="16"/>
        <v>#REF!</v>
      </c>
      <c r="L217" s="392" t="e">
        <f t="shared" si="17"/>
        <v>#REF!</v>
      </c>
      <c r="M217" s="345" t="s">
        <v>648</v>
      </c>
      <c r="N217" s="346"/>
    </row>
    <row r="218" spans="1:14" s="110" customFormat="1" ht="29.5" hidden="1" thickBot="1" x14ac:dyDescent="0.4">
      <c r="A218" s="387" t="str">
        <f>'Prominence II'!A15</f>
        <v xml:space="preserve">B2 Unit no. 22, Inner Unit, Plan 1, Bldg.2 Plan 1 </v>
      </c>
      <c r="B218" s="388">
        <f>0</f>
        <v>0</v>
      </c>
      <c r="C218" s="388">
        <f>'Prominence II'!H15</f>
        <v>134.87</v>
      </c>
      <c r="D218" s="388"/>
      <c r="E218" s="388"/>
      <c r="F218" s="388">
        <v>19502963.359999999</v>
      </c>
      <c r="G218" s="388">
        <f>'Prominence II'!L15</f>
        <v>0</v>
      </c>
      <c r="H218" s="389">
        <f t="shared" si="15"/>
        <v>22623400</v>
      </c>
      <c r="I218" s="388">
        <v>13735798.4</v>
      </c>
      <c r="J218" s="390" t="s">
        <v>642</v>
      </c>
      <c r="K218" s="391" t="e">
        <f t="shared" si="16"/>
        <v>#REF!</v>
      </c>
      <c r="L218" s="392" t="e">
        <f t="shared" si="17"/>
        <v>#REF!</v>
      </c>
      <c r="M218" s="345" t="s">
        <v>648</v>
      </c>
      <c r="N218" s="346"/>
    </row>
    <row r="219" spans="1:14" s="110" customFormat="1" ht="29.5" hidden="1" thickBot="1" x14ac:dyDescent="0.4">
      <c r="A219" s="387" t="str">
        <f>'Prominence II'!A16</f>
        <v xml:space="preserve">B2 Unit no. 24, End Unit, Plan 3, Bldg.2 Plan 3 </v>
      </c>
      <c r="B219" s="388">
        <f>0</f>
        <v>0</v>
      </c>
      <c r="C219" s="388">
        <f>'Prominence II'!H16</f>
        <v>209.82</v>
      </c>
      <c r="D219" s="388"/>
      <c r="E219" s="388"/>
      <c r="F219" s="388">
        <v>19502964.359999999</v>
      </c>
      <c r="G219" s="388">
        <f>'Prominence II'!L16</f>
        <v>0</v>
      </c>
      <c r="H219" s="389">
        <f t="shared" si="15"/>
        <v>22623400</v>
      </c>
      <c r="I219" s="388">
        <v>13735799.4</v>
      </c>
      <c r="J219" s="390" t="s">
        <v>642</v>
      </c>
      <c r="K219" s="391" t="e">
        <f t="shared" si="16"/>
        <v>#REF!</v>
      </c>
      <c r="L219" s="392" t="e">
        <f t="shared" si="17"/>
        <v>#REF!</v>
      </c>
      <c r="M219" s="345" t="s">
        <v>648</v>
      </c>
      <c r="N219" s="346"/>
    </row>
    <row r="220" spans="1:14" s="110" customFormat="1" ht="29.5" hidden="1" thickBot="1" x14ac:dyDescent="0.4">
      <c r="A220" s="387" t="str">
        <f>'Prominence II'!A17</f>
        <v xml:space="preserve">B2 Unit no. 25, End Unit, Plan 3, Bldg. 2 Plan 3 </v>
      </c>
      <c r="B220" s="388">
        <f>0</f>
        <v>0</v>
      </c>
      <c r="C220" s="388">
        <f>'Prominence II'!H17</f>
        <v>209.82</v>
      </c>
      <c r="D220" s="388"/>
      <c r="E220" s="388"/>
      <c r="F220" s="388">
        <v>19502965.359999999</v>
      </c>
      <c r="G220" s="388">
        <f>'Prominence II'!L17</f>
        <v>0</v>
      </c>
      <c r="H220" s="389">
        <f t="shared" si="15"/>
        <v>22623400</v>
      </c>
      <c r="I220" s="388">
        <v>13735800.4</v>
      </c>
      <c r="J220" s="390" t="s">
        <v>642</v>
      </c>
      <c r="K220" s="391" t="e">
        <f t="shared" si="16"/>
        <v>#REF!</v>
      </c>
      <c r="L220" s="392" t="e">
        <f t="shared" si="17"/>
        <v>#REF!</v>
      </c>
      <c r="M220" s="345" t="s">
        <v>648</v>
      </c>
      <c r="N220" s="346"/>
    </row>
    <row r="221" spans="1:14" s="110" customFormat="1" ht="29.5" hidden="1" thickBot="1" x14ac:dyDescent="0.4">
      <c r="A221" s="387" t="str">
        <f>'Prominence II'!A18</f>
        <v xml:space="preserve">B2 Unit no. 26, End Unit, Plan 3, Bldg. 2 Plan 3 </v>
      </c>
      <c r="B221" s="388">
        <f>0</f>
        <v>0</v>
      </c>
      <c r="C221" s="388">
        <f>'Prominence II'!H18</f>
        <v>209.82</v>
      </c>
      <c r="D221" s="388"/>
      <c r="E221" s="388"/>
      <c r="F221" s="388">
        <v>19502966.359999999</v>
      </c>
      <c r="G221" s="388">
        <f>'Prominence II'!L18</f>
        <v>0</v>
      </c>
      <c r="H221" s="389">
        <f t="shared" si="15"/>
        <v>22623400</v>
      </c>
      <c r="I221" s="388">
        <v>13735801.4</v>
      </c>
      <c r="J221" s="390" t="s">
        <v>642</v>
      </c>
      <c r="K221" s="391" t="e">
        <f t="shared" si="16"/>
        <v>#REF!</v>
      </c>
      <c r="L221" s="392" t="e">
        <f t="shared" si="17"/>
        <v>#REF!</v>
      </c>
      <c r="M221" s="345" t="s">
        <v>648</v>
      </c>
      <c r="N221" s="346"/>
    </row>
    <row r="222" spans="1:14" s="110" customFormat="1" ht="29.5" hidden="1" thickBot="1" x14ac:dyDescent="0.4">
      <c r="A222" s="387" t="str">
        <f>'Prominence II'!A19</f>
        <v xml:space="preserve">B2 Unit no. 27, Inner Unit, Plan 1, Bldg. 2 Plan 1 </v>
      </c>
      <c r="B222" s="388">
        <f>0</f>
        <v>0</v>
      </c>
      <c r="C222" s="388">
        <f>'Prominence II'!H19</f>
        <v>134.87</v>
      </c>
      <c r="D222" s="388"/>
      <c r="E222" s="388"/>
      <c r="F222" s="388">
        <v>19502967.359999999</v>
      </c>
      <c r="G222" s="388">
        <f>'Prominence II'!L19</f>
        <v>0</v>
      </c>
      <c r="H222" s="389">
        <f t="shared" si="15"/>
        <v>22623400</v>
      </c>
      <c r="I222" s="388">
        <v>13735802.4</v>
      </c>
      <c r="J222" s="390" t="s">
        <v>642</v>
      </c>
      <c r="K222" s="391" t="e">
        <f t="shared" si="16"/>
        <v>#REF!</v>
      </c>
      <c r="L222" s="392" t="e">
        <f t="shared" si="17"/>
        <v>#REF!</v>
      </c>
      <c r="M222" s="345" t="s">
        <v>648</v>
      </c>
      <c r="N222" s="346"/>
    </row>
    <row r="223" spans="1:14" s="110" customFormat="1" ht="29.5" hidden="1" thickBot="1" x14ac:dyDescent="0.4">
      <c r="A223" s="387" t="str">
        <f>'Prominence II'!A20</f>
        <v xml:space="preserve">B2 Unit no. 28, Inner Unit, Plan 1, Bldg. 2 Plan 1 </v>
      </c>
      <c r="B223" s="388">
        <f>0</f>
        <v>0</v>
      </c>
      <c r="C223" s="388">
        <f>'Prominence II'!H20</f>
        <v>134.87</v>
      </c>
      <c r="D223" s="388"/>
      <c r="E223" s="388"/>
      <c r="F223" s="388">
        <v>19502968.359999999</v>
      </c>
      <c r="G223" s="388">
        <f>'Prominence II'!L20</f>
        <v>0</v>
      </c>
      <c r="H223" s="389">
        <f t="shared" si="15"/>
        <v>22623400</v>
      </c>
      <c r="I223" s="388">
        <v>13735803.4</v>
      </c>
      <c r="J223" s="390" t="s">
        <v>642</v>
      </c>
      <c r="K223" s="391" t="e">
        <f t="shared" si="16"/>
        <v>#REF!</v>
      </c>
      <c r="L223" s="392" t="e">
        <f t="shared" si="17"/>
        <v>#REF!</v>
      </c>
      <c r="M223" s="345" t="s">
        <v>648</v>
      </c>
      <c r="N223" s="346"/>
    </row>
    <row r="224" spans="1:14" s="110" customFormat="1" ht="29.5" hidden="1" thickBot="1" x14ac:dyDescent="0.4">
      <c r="A224" s="387" t="str">
        <f>'Prominence II'!A21</f>
        <v xml:space="preserve">B2 Unit no. 29, End Unit, Plan 3A, Bldg. 2 Plan 3 </v>
      </c>
      <c r="B224" s="388">
        <f>0</f>
        <v>0</v>
      </c>
      <c r="C224" s="388">
        <f>'Prominence II'!H21</f>
        <v>209.82</v>
      </c>
      <c r="D224" s="388"/>
      <c r="E224" s="388"/>
      <c r="F224" s="388">
        <v>19502969.359999999</v>
      </c>
      <c r="G224" s="388">
        <f>'Prominence II'!L21</f>
        <v>0</v>
      </c>
      <c r="H224" s="389">
        <f t="shared" si="15"/>
        <v>22623400</v>
      </c>
      <c r="I224" s="388">
        <v>13735804.4</v>
      </c>
      <c r="J224" s="390" t="s">
        <v>642</v>
      </c>
      <c r="K224" s="391">
        <f t="shared" si="16"/>
        <v>108590.98301178441</v>
      </c>
      <c r="L224" s="392" t="e">
        <f t="shared" si="17"/>
        <v>#REF!</v>
      </c>
      <c r="M224" s="345" t="s">
        <v>648</v>
      </c>
      <c r="N224" s="346"/>
    </row>
    <row r="225" spans="1:14" s="110" customFormat="1" ht="29.5" hidden="1" thickBot="1" x14ac:dyDescent="0.4">
      <c r="A225" s="387" t="str">
        <f>'Prominence II'!A22</f>
        <v xml:space="preserve">B2 Unit no. 30, End Unit, Plan 3A, Bldg. 2 Plan 3 </v>
      </c>
      <c r="B225" s="388">
        <f>0</f>
        <v>0</v>
      </c>
      <c r="C225" s="388">
        <f>'Prominence II'!H22</f>
        <v>209.82</v>
      </c>
      <c r="D225" s="388"/>
      <c r="E225" s="388"/>
      <c r="F225" s="388">
        <v>19502970.359999999</v>
      </c>
      <c r="G225" s="388">
        <f>'Prominence II'!L22</f>
        <v>0</v>
      </c>
      <c r="H225" s="389">
        <f t="shared" si="15"/>
        <v>22623400</v>
      </c>
      <c r="I225" s="388">
        <v>13735805.4</v>
      </c>
      <c r="J225" s="390" t="s">
        <v>642</v>
      </c>
      <c r="K225" s="391">
        <f t="shared" si="16"/>
        <v>107994.2074735549</v>
      </c>
      <c r="L225" s="392">
        <f t="shared" si="17"/>
        <v>-5.4956270003076752E-3</v>
      </c>
      <c r="M225" s="345" t="s">
        <v>648</v>
      </c>
      <c r="N225" s="346"/>
    </row>
    <row r="226" spans="1:14" s="110" customFormat="1" ht="29.5" hidden="1" thickBot="1" x14ac:dyDescent="0.4">
      <c r="A226" s="387" t="str">
        <f>'Prominence II'!A23</f>
        <v xml:space="preserve">B2 Unit no. 31, End Unit, Plan 3A, Bldg. 2 Plan 3 </v>
      </c>
      <c r="B226" s="388">
        <f>0</f>
        <v>0</v>
      </c>
      <c r="C226" s="388">
        <f>'Prominence II'!H23</f>
        <v>209.82</v>
      </c>
      <c r="D226" s="388"/>
      <c r="E226" s="388"/>
      <c r="F226" s="388">
        <v>19502971.359999999</v>
      </c>
      <c r="G226" s="388">
        <f>'Prominence II'!L23</f>
        <v>0</v>
      </c>
      <c r="H226" s="389">
        <f t="shared" si="15"/>
        <v>22623400</v>
      </c>
      <c r="I226" s="388">
        <v>13735806.4</v>
      </c>
      <c r="J226" s="390" t="s">
        <v>642</v>
      </c>
      <c r="K226" s="391" t="e">
        <f t="shared" si="16"/>
        <v>#REF!</v>
      </c>
      <c r="L226" s="392" t="e">
        <f t="shared" si="17"/>
        <v>#REF!</v>
      </c>
      <c r="M226" s="345" t="s">
        <v>648</v>
      </c>
      <c r="N226" s="346"/>
    </row>
    <row r="227" spans="1:14" s="110" customFormat="1" ht="29.5" hidden="1" thickBot="1" x14ac:dyDescent="0.4">
      <c r="A227" s="387" t="str">
        <f>'Prominence II'!A24</f>
        <v xml:space="preserve">B2 Unit no. 32, End Unit, Plan 3A, Bldg. 2 Plan 3 </v>
      </c>
      <c r="B227" s="388">
        <f>0</f>
        <v>0</v>
      </c>
      <c r="C227" s="388">
        <f>'Prominence II'!H24</f>
        <v>209.82</v>
      </c>
      <c r="D227" s="388"/>
      <c r="E227" s="388"/>
      <c r="F227" s="388">
        <v>19502972.359999999</v>
      </c>
      <c r="G227" s="388">
        <f>'Prominence II'!L24</f>
        <v>0</v>
      </c>
      <c r="H227" s="389">
        <f t="shared" si="15"/>
        <v>22623400</v>
      </c>
      <c r="I227" s="388">
        <v>13735807.4</v>
      </c>
      <c r="J227" s="390" t="s">
        <v>642</v>
      </c>
      <c r="K227" s="391">
        <f t="shared" si="16"/>
        <v>100965.62125534951</v>
      </c>
      <c r="L227" s="392" t="e">
        <f t="shared" si="17"/>
        <v>#REF!</v>
      </c>
      <c r="M227" s="345" t="s">
        <v>648</v>
      </c>
      <c r="N227" s="346"/>
    </row>
    <row r="228" spans="1:14" s="110" customFormat="1" ht="29.5" hidden="1" thickBot="1" x14ac:dyDescent="0.4">
      <c r="A228" s="387" t="str">
        <f>'Prominence II'!A25</f>
        <v xml:space="preserve">B2 Unit no. 33, Inner Unit, Plan 1, Bldg. 2 Plan 1 </v>
      </c>
      <c r="B228" s="388">
        <f>0</f>
        <v>0</v>
      </c>
      <c r="C228" s="388">
        <f>'Prominence II'!H25</f>
        <v>134.87</v>
      </c>
      <c r="D228" s="388"/>
      <c r="E228" s="388"/>
      <c r="F228" s="388">
        <v>19502973.359999999</v>
      </c>
      <c r="G228" s="388">
        <f>'Prominence II'!L25</f>
        <v>0</v>
      </c>
      <c r="H228" s="389">
        <f t="shared" si="15"/>
        <v>22623400</v>
      </c>
      <c r="I228" s="388">
        <v>13735808.4</v>
      </c>
      <c r="J228" s="390" t="s">
        <v>642</v>
      </c>
      <c r="K228" s="391">
        <f t="shared" si="16"/>
        <v>110492.84407458235</v>
      </c>
      <c r="L228" s="392">
        <f t="shared" si="17"/>
        <v>9.4361057761807685E-2</v>
      </c>
      <c r="M228" s="345" t="s">
        <v>648</v>
      </c>
      <c r="N228" s="346"/>
    </row>
    <row r="229" spans="1:14" s="110" customFormat="1" ht="29.5" hidden="1" thickBot="1" x14ac:dyDescent="0.4">
      <c r="A229" s="387" t="str">
        <f>'Prominence II'!A26</f>
        <v xml:space="preserve">B2 Unit no. 34, Inner Unit, Plan 1, Bldg. 2 Plan 1 </v>
      </c>
      <c r="B229" s="388">
        <f>0</f>
        <v>0</v>
      </c>
      <c r="C229" s="388">
        <f>'Prominence II'!H26</f>
        <v>134.87</v>
      </c>
      <c r="D229" s="388"/>
      <c r="E229" s="388"/>
      <c r="F229" s="388">
        <v>19502974.359999999</v>
      </c>
      <c r="G229" s="388">
        <f>'Prominence II'!L26</f>
        <v>0</v>
      </c>
      <c r="H229" s="389">
        <f t="shared" si="15"/>
        <v>22623500</v>
      </c>
      <c r="I229" s="388">
        <v>13735809.4</v>
      </c>
      <c r="J229" s="390" t="s">
        <v>642</v>
      </c>
      <c r="K229" s="391">
        <f t="shared" si="16"/>
        <v>110492.8497400194</v>
      </c>
      <c r="L229" s="392">
        <f t="shared" si="17"/>
        <v>5.1274244082503839E-8</v>
      </c>
      <c r="M229" s="345" t="s">
        <v>648</v>
      </c>
      <c r="N229" s="346"/>
    </row>
    <row r="230" spans="1:14" s="110" customFormat="1" ht="29.5" hidden="1" thickBot="1" x14ac:dyDescent="0.4">
      <c r="A230" s="387" t="str">
        <f>'Prominence II'!A27</f>
        <v xml:space="preserve">B2 Unit no. 35, End Unit, Plan 3, Bldg. 2 Plan 3 </v>
      </c>
      <c r="B230" s="388">
        <f>0</f>
        <v>0</v>
      </c>
      <c r="C230" s="388">
        <f>'Prominence II'!H27</f>
        <v>209.82</v>
      </c>
      <c r="D230" s="388"/>
      <c r="E230" s="388"/>
      <c r="F230" s="388">
        <v>19502975.359999999</v>
      </c>
      <c r="G230" s="388">
        <f>'Prominence II'!L27</f>
        <v>0</v>
      </c>
      <c r="H230" s="389">
        <f t="shared" si="15"/>
        <v>22623500</v>
      </c>
      <c r="I230" s="388">
        <v>13735810.4</v>
      </c>
      <c r="J230" s="390" t="s">
        <v>642</v>
      </c>
      <c r="K230" s="391">
        <f t="shared" si="16"/>
        <v>105514.62266385341</v>
      </c>
      <c r="L230" s="392">
        <f t="shared" si="17"/>
        <v>-4.5054744156561702E-2</v>
      </c>
      <c r="M230" s="345" t="s">
        <v>648</v>
      </c>
      <c r="N230" s="346"/>
    </row>
    <row r="231" spans="1:14" s="110" customFormat="1" ht="29.5" hidden="1" thickBot="1" x14ac:dyDescent="0.4">
      <c r="A231" s="387" t="str">
        <f>'Prominence II'!A28</f>
        <v xml:space="preserve">B2 Unit no. 36, End Unit, Plan 3, Bldg. 2 Plan 3 </v>
      </c>
      <c r="B231" s="388">
        <f>0</f>
        <v>0</v>
      </c>
      <c r="C231" s="388">
        <f>'Prominence II'!H28</f>
        <v>209.82</v>
      </c>
      <c r="D231" s="388"/>
      <c r="E231" s="388"/>
      <c r="F231" s="388">
        <v>19502976.359999999</v>
      </c>
      <c r="G231" s="388">
        <f>'Prominence II'!L28</f>
        <v>0</v>
      </c>
      <c r="H231" s="389">
        <f t="shared" si="15"/>
        <v>22623500</v>
      </c>
      <c r="I231" s="388">
        <v>13735811.4</v>
      </c>
      <c r="J231" s="390" t="s">
        <v>642</v>
      </c>
      <c r="K231" s="391">
        <f t="shared" si="16"/>
        <v>100965.64196309423</v>
      </c>
      <c r="L231" s="392">
        <f t="shared" si="17"/>
        <v>-4.3112324964201872E-2</v>
      </c>
      <c r="M231" s="345" t="s">
        <v>648</v>
      </c>
      <c r="N231" s="346"/>
    </row>
    <row r="232" spans="1:14" s="110" customFormat="1" ht="29.5" hidden="1" thickBot="1" x14ac:dyDescent="0.4">
      <c r="A232" s="387" t="str">
        <f>'Prominence II'!A29</f>
        <v xml:space="preserve">B3 Unit no. 2, End Unit, Plan 3, Bldg. 2 lan 3, </v>
      </c>
      <c r="B232" s="388">
        <f>0</f>
        <v>0</v>
      </c>
      <c r="C232" s="388">
        <f>'Prominence II'!H29</f>
        <v>209.82</v>
      </c>
      <c r="D232" s="388"/>
      <c r="E232" s="388"/>
      <c r="F232" s="388">
        <v>19502977.359999999</v>
      </c>
      <c r="G232" s="388">
        <f>'Prominence II'!L29</f>
        <v>0</v>
      </c>
      <c r="H232" s="389">
        <f t="shared" si="15"/>
        <v>22623500</v>
      </c>
      <c r="I232" s="388">
        <v>13735812.4</v>
      </c>
      <c r="J232" s="390" t="s">
        <v>642</v>
      </c>
      <c r="K232" s="391">
        <f t="shared" si="16"/>
        <v>105514.63348421732</v>
      </c>
      <c r="L232" s="392">
        <f t="shared" si="17"/>
        <v>4.5054846705039349E-2</v>
      </c>
      <c r="M232" s="345" t="s">
        <v>648</v>
      </c>
      <c r="N232" s="346"/>
    </row>
    <row r="233" spans="1:14" s="110" customFormat="1" ht="29.5" hidden="1" thickBot="1" x14ac:dyDescent="0.4">
      <c r="A233" s="387" t="str">
        <f>'Prominence II'!A30</f>
        <v xml:space="preserve">B3 Unit no. 3, End Unit, Plan 3, Bldg. 2 lan 3, </v>
      </c>
      <c r="B233" s="388">
        <f>0</f>
        <v>0</v>
      </c>
      <c r="C233" s="388">
        <f>'Prominence II'!H30</f>
        <v>209.82</v>
      </c>
      <c r="D233" s="388"/>
      <c r="E233" s="388"/>
      <c r="F233" s="388">
        <v>19502978.359999999</v>
      </c>
      <c r="G233" s="388">
        <f>'Prominence II'!L30</f>
        <v>0</v>
      </c>
      <c r="H233" s="389">
        <f t="shared" si="15"/>
        <v>22623500</v>
      </c>
      <c r="I233" s="388">
        <v>13735813.4</v>
      </c>
      <c r="J233" s="390" t="s">
        <v>642</v>
      </c>
      <c r="K233" s="391">
        <f t="shared" si="16"/>
        <v>105514.63889439928</v>
      </c>
      <c r="L233" s="392">
        <f t="shared" si="17"/>
        <v>5.1274233501406994E-8</v>
      </c>
      <c r="M233" s="345" t="s">
        <v>648</v>
      </c>
      <c r="N233" s="346"/>
    </row>
    <row r="234" spans="1:14" s="110" customFormat="1" ht="29.5" hidden="1" thickBot="1" x14ac:dyDescent="0.4">
      <c r="A234" s="387" t="str">
        <f>'Prominence II'!A31</f>
        <v xml:space="preserve">B3 Unit no. 5, Inner Unit, Plan 1, Bldg. 2 Plan 1 </v>
      </c>
      <c r="B234" s="388">
        <f>0</f>
        <v>0</v>
      </c>
      <c r="C234" s="388">
        <f>'Prominence II'!H31</f>
        <v>134.87</v>
      </c>
      <c r="D234" s="388"/>
      <c r="E234" s="388"/>
      <c r="F234" s="388">
        <v>19502979.359999999</v>
      </c>
      <c r="G234" s="388">
        <f>'Prominence II'!L31</f>
        <v>0</v>
      </c>
      <c r="H234" s="389">
        <f t="shared" si="15"/>
        <v>22623500</v>
      </c>
      <c r="I234" s="388">
        <v>13735814.4</v>
      </c>
      <c r="J234" s="390" t="s">
        <v>642</v>
      </c>
      <c r="K234" s="391">
        <f t="shared" si="16"/>
        <v>105514.64430458125</v>
      </c>
      <c r="L234" s="392">
        <f t="shared" si="17"/>
        <v>5.1274231010273819E-8</v>
      </c>
      <c r="M234" s="345" t="s">
        <v>648</v>
      </c>
      <c r="N234" s="346"/>
    </row>
    <row r="235" spans="1:14" s="110" customFormat="1" ht="29.5" hidden="1" thickBot="1" x14ac:dyDescent="0.4">
      <c r="A235" s="387" t="str">
        <f>'Prominence II'!A32</f>
        <v xml:space="preserve">B3 Unit no. 7, End Unit, Plan 3A, Bldg. 2 Plan 3 </v>
      </c>
      <c r="B235" s="388">
        <f>0</f>
        <v>0</v>
      </c>
      <c r="C235" s="388">
        <f>'Prominence II'!H32</f>
        <v>209.82</v>
      </c>
      <c r="D235" s="388"/>
      <c r="E235" s="388"/>
      <c r="F235" s="388">
        <v>19502980.359999999</v>
      </c>
      <c r="G235" s="388">
        <f>'Prominence II'!L32</f>
        <v>0</v>
      </c>
      <c r="H235" s="389">
        <f t="shared" si="15"/>
        <v>22623500</v>
      </c>
      <c r="I235" s="388">
        <v>13735815.4</v>
      </c>
      <c r="J235" s="390" t="s">
        <v>642</v>
      </c>
      <c r="K235" s="391">
        <f t="shared" si="16"/>
        <v>105514.64971476319</v>
      </c>
      <c r="L235" s="392">
        <f t="shared" si="17"/>
        <v>5.1274228105399783E-8</v>
      </c>
      <c r="M235" s="345" t="s">
        <v>648</v>
      </c>
      <c r="N235" s="346"/>
    </row>
    <row r="236" spans="1:14" s="110" customFormat="1" ht="29.5" hidden="1" thickBot="1" x14ac:dyDescent="0.4">
      <c r="A236" s="387" t="str">
        <f>'Prominence II'!A33</f>
        <v xml:space="preserve">B4A Unit no. 1, Diana, Single Detached Single Detached </v>
      </c>
      <c r="B236" s="388">
        <f>0</f>
        <v>0</v>
      </c>
      <c r="C236" s="388">
        <f>'Prominence II'!H33</f>
        <v>179.25</v>
      </c>
      <c r="D236" s="388"/>
      <c r="E236" s="388"/>
      <c r="F236" s="388">
        <v>19502981.359999999</v>
      </c>
      <c r="G236" s="388">
        <f>'Prominence II'!L33</f>
        <v>0</v>
      </c>
      <c r="H236" s="389">
        <f t="shared" si="15"/>
        <v>22623500</v>
      </c>
      <c r="I236" s="388">
        <v>13735816.4</v>
      </c>
      <c r="J236" s="390" t="s">
        <v>642</v>
      </c>
      <c r="K236" s="391">
        <f t="shared" si="16"/>
        <v>102772.85936612588</v>
      </c>
      <c r="L236" s="392">
        <f t="shared" si="17"/>
        <v>-2.598492584725598E-2</v>
      </c>
      <c r="M236" s="345" t="s">
        <v>648</v>
      </c>
      <c r="N236" s="346"/>
    </row>
    <row r="237" spans="1:14" s="110" customFormat="1" ht="44" hidden="1" thickBot="1" x14ac:dyDescent="0.4">
      <c r="A237" s="387" t="str">
        <f>'Prominence II'!A34</f>
        <v xml:space="preserve">B4A Unit no. 3, Madonna, Single Detached Single Detached </v>
      </c>
      <c r="B237" s="388">
        <f>0</f>
        <v>0</v>
      </c>
      <c r="C237" s="388">
        <f>'Prominence II'!H34</f>
        <v>230.99</v>
      </c>
      <c r="D237" s="388"/>
      <c r="E237" s="388"/>
      <c r="F237" s="388">
        <v>19502982.359999999</v>
      </c>
      <c r="G237" s="388">
        <f>'Prominence II'!L34</f>
        <v>0</v>
      </c>
      <c r="H237" s="389">
        <f t="shared" si="15"/>
        <v>22623500</v>
      </c>
      <c r="I237" s="388">
        <v>13735817.4</v>
      </c>
      <c r="J237" s="390" t="s">
        <v>642</v>
      </c>
      <c r="K237" s="391">
        <f t="shared" si="16"/>
        <v>97297.05339711647</v>
      </c>
      <c r="L237" s="392">
        <f t="shared" si="17"/>
        <v>-5.3280661867176234E-2</v>
      </c>
      <c r="M237" s="345" t="s">
        <v>648</v>
      </c>
      <c r="N237" s="346"/>
    </row>
    <row r="238" spans="1:14" s="110" customFormat="1" ht="29.5" hidden="1" thickBot="1" x14ac:dyDescent="0.4">
      <c r="A238" s="387" t="str">
        <f>'Prominence II'!A35</f>
        <v xml:space="preserve">B4A Unit no. 4, Diana, Single Detached Single Detached </v>
      </c>
      <c r="B238" s="388">
        <f>0</f>
        <v>0</v>
      </c>
      <c r="C238" s="388">
        <f>'Prominence II'!H35</f>
        <v>179.25</v>
      </c>
      <c r="D238" s="388"/>
      <c r="E238" s="388"/>
      <c r="F238" s="388">
        <v>19502983.359999999</v>
      </c>
      <c r="G238" s="388">
        <f>'Prominence II'!L35</f>
        <v>0</v>
      </c>
      <c r="H238" s="389">
        <f t="shared" si="15"/>
        <v>22623500</v>
      </c>
      <c r="I238" s="388">
        <v>13735818.4</v>
      </c>
      <c r="J238" s="390" t="s">
        <v>642</v>
      </c>
      <c r="K238" s="391">
        <f t="shared" si="16"/>
        <v>103341.64193322383</v>
      </c>
      <c r="L238" s="392">
        <f t="shared" si="17"/>
        <v>6.2125093464408032E-2</v>
      </c>
      <c r="M238" s="345" t="s">
        <v>648</v>
      </c>
      <c r="N238" s="346"/>
    </row>
    <row r="239" spans="1:14" s="110" customFormat="1" ht="44" hidden="1" thickBot="1" x14ac:dyDescent="0.4">
      <c r="A239" s="387" t="str">
        <f>'Prominence II'!A36</f>
        <v xml:space="preserve">B4A Unit no. 5, Madonna, Single Detached Single Detached </v>
      </c>
      <c r="B239" s="388">
        <f>0</f>
        <v>0</v>
      </c>
      <c r="C239" s="388">
        <f>'Prominence II'!H36</f>
        <v>230.99</v>
      </c>
      <c r="D239" s="388"/>
      <c r="E239" s="388"/>
      <c r="F239" s="388">
        <v>19502984.359999999</v>
      </c>
      <c r="G239" s="388">
        <f>'Prominence II'!L36</f>
        <v>0</v>
      </c>
      <c r="H239" s="389">
        <f t="shared" si="15"/>
        <v>22623500</v>
      </c>
      <c r="I239" s="388">
        <v>13735819.4</v>
      </c>
      <c r="J239" s="390" t="s">
        <v>642</v>
      </c>
      <c r="K239" s="391">
        <f t="shared" si="16"/>
        <v>102069.46713342017</v>
      </c>
      <c r="L239" s="392">
        <f t="shared" si="17"/>
        <v>-1.2310379204403381E-2</v>
      </c>
      <c r="M239" s="345" t="s">
        <v>648</v>
      </c>
      <c r="N239" s="346"/>
    </row>
    <row r="240" spans="1:14" s="110" customFormat="1" ht="29.5" hidden="1" thickBot="1" x14ac:dyDescent="0.4">
      <c r="A240" s="387" t="str">
        <f>'Prominence II'!A37</f>
        <v xml:space="preserve">B4A Unit no. 6, Diana, Single Detached Single Detached </v>
      </c>
      <c r="B240" s="388">
        <f>0</f>
        <v>0</v>
      </c>
      <c r="C240" s="388">
        <f>'Prominence II'!H37</f>
        <v>179.25</v>
      </c>
      <c r="D240" s="388"/>
      <c r="E240" s="388"/>
      <c r="F240" s="388">
        <v>19502985.359999999</v>
      </c>
      <c r="G240" s="388">
        <f>'Prominence II'!L37</f>
        <v>0</v>
      </c>
      <c r="H240" s="389">
        <f t="shared" si="15"/>
        <v>22623500</v>
      </c>
      <c r="I240" s="388">
        <v>13735820.4</v>
      </c>
      <c r="J240" s="390" t="s">
        <v>642</v>
      </c>
      <c r="K240" s="391">
        <f t="shared" si="16"/>
        <v>99501.621396097646</v>
      </c>
      <c r="L240" s="392">
        <f t="shared" si="17"/>
        <v>-2.5157824464449918E-2</v>
      </c>
      <c r="M240" s="345" t="s">
        <v>648</v>
      </c>
      <c r="N240" s="346"/>
    </row>
    <row r="241" spans="1:14" s="110" customFormat="1" ht="29.5" hidden="1" thickBot="1" x14ac:dyDescent="0.4">
      <c r="A241" s="387" t="str">
        <f>'Prominence II'!A38</f>
        <v xml:space="preserve">B3 Unit no. 11, Inner Unit, Plan 1, Bldg. 2 Plan 1 </v>
      </c>
      <c r="B241" s="388">
        <f>0</f>
        <v>0</v>
      </c>
      <c r="C241" s="388">
        <f>'Prominence II'!H38</f>
        <v>134.87</v>
      </c>
      <c r="D241" s="388"/>
      <c r="E241" s="388"/>
      <c r="F241" s="388">
        <v>19502986.359999999</v>
      </c>
      <c r="G241" s="388">
        <f>'Prominence II'!L38</f>
        <v>0</v>
      </c>
      <c r="H241" s="389">
        <f t="shared" si="15"/>
        <v>22623500</v>
      </c>
      <c r="I241" s="388">
        <v>13735821.4</v>
      </c>
      <c r="J241" s="390" t="s">
        <v>642</v>
      </c>
      <c r="K241" s="391">
        <f t="shared" si="16"/>
        <v>103916.76044780979</v>
      </c>
      <c r="L241" s="392">
        <f t="shared" si="17"/>
        <v>4.4372533731247367E-2</v>
      </c>
      <c r="M241" s="345" t="s">
        <v>648</v>
      </c>
      <c r="N241" s="346"/>
    </row>
    <row r="242" spans="1:14" s="110" customFormat="1" ht="29.5" hidden="1" thickBot="1" x14ac:dyDescent="0.4">
      <c r="A242" s="387" t="str">
        <f>'Prominence II'!A39</f>
        <v xml:space="preserve">B3 Unit no. 13, End Unit, Plan 3, Bldg. 2 Plan 3 </v>
      </c>
      <c r="B242" s="388">
        <f>0</f>
        <v>0</v>
      </c>
      <c r="C242" s="388">
        <f>'Prominence II'!H39</f>
        <v>209.82</v>
      </c>
      <c r="D242" s="388"/>
      <c r="E242" s="388"/>
      <c r="F242" s="388">
        <v>19502987.359999999</v>
      </c>
      <c r="G242" s="388">
        <f>'Prominence II'!L39</f>
        <v>0</v>
      </c>
      <c r="H242" s="389">
        <f t="shared" si="15"/>
        <v>22623500</v>
      </c>
      <c r="I242" s="388">
        <v>13735822.4</v>
      </c>
      <c r="J242" s="390" t="s">
        <v>642</v>
      </c>
      <c r="K242" s="391">
        <f t="shared" si="16"/>
        <v>99501.631599832224</v>
      </c>
      <c r="L242" s="392">
        <f t="shared" si="17"/>
        <v>-4.2487167892372689E-2</v>
      </c>
      <c r="M242" s="345" t="s">
        <v>648</v>
      </c>
      <c r="N242" s="346"/>
    </row>
    <row r="243" spans="1:14" s="110" customFormat="1" ht="29.5" hidden="1" thickBot="1" x14ac:dyDescent="0.4">
      <c r="A243" s="387" t="str">
        <f>'Prominence II'!A40</f>
        <v xml:space="preserve">B3 Unit no. 9, End Unit, Plan 3A, Bldg. 2 lan 3A </v>
      </c>
      <c r="B243" s="388">
        <f>0</f>
        <v>0</v>
      </c>
      <c r="C243" s="388">
        <f>'Prominence II'!H40</f>
        <v>209.82</v>
      </c>
      <c r="D243" s="388"/>
      <c r="E243" s="388"/>
      <c r="F243" s="388">
        <v>19502988.359999999</v>
      </c>
      <c r="G243" s="388">
        <f>'Prominence II'!L40</f>
        <v>0</v>
      </c>
      <c r="H243" s="389">
        <f t="shared" si="15"/>
        <v>22623500</v>
      </c>
      <c r="I243" s="388">
        <v>13735823.4</v>
      </c>
      <c r="J243" s="390" t="s">
        <v>642</v>
      </c>
      <c r="K243" s="391">
        <f t="shared" si="16"/>
        <v>99501.636701699492</v>
      </c>
      <c r="L243" s="392">
        <f t="shared" si="17"/>
        <v>5.1274207120854075E-8</v>
      </c>
      <c r="M243" s="345" t="s">
        <v>648</v>
      </c>
      <c r="N243" s="346"/>
    </row>
    <row r="244" spans="1:14" s="110" customFormat="1" ht="29.5" hidden="1" thickBot="1" x14ac:dyDescent="0.4">
      <c r="A244" s="387" t="str">
        <f>'Prominence II'!A41</f>
        <v xml:space="preserve">B3A Unit no. 20, End Unit, Plan 6, Duplex 2 Plan 6 </v>
      </c>
      <c r="B244" s="388">
        <f>0</f>
        <v>0</v>
      </c>
      <c r="C244" s="388">
        <f>'Prominence II'!H41</f>
        <v>222.77</v>
      </c>
      <c r="D244" s="388"/>
      <c r="E244" s="388"/>
      <c r="F244" s="388">
        <v>19502989.359999999</v>
      </c>
      <c r="G244" s="388">
        <f>'Prominence II'!L41</f>
        <v>0</v>
      </c>
      <c r="H244" s="389">
        <f t="shared" si="15"/>
        <v>22623500</v>
      </c>
      <c r="I244" s="388">
        <v>13735824.4</v>
      </c>
      <c r="J244" s="390" t="s">
        <v>642</v>
      </c>
      <c r="K244" s="391">
        <f t="shared" si="16"/>
        <v>101306.6068577827</v>
      </c>
      <c r="L244" s="392">
        <f t="shared" si="17"/>
        <v>1.8140105187358941E-2</v>
      </c>
      <c r="M244" s="345" t="s">
        <v>648</v>
      </c>
      <c r="N244" s="346"/>
    </row>
    <row r="245" spans="1:14" s="110" customFormat="1" ht="29.5" hidden="1" thickBot="1" x14ac:dyDescent="0.4">
      <c r="A245" s="387" t="str">
        <f>'Prominence II'!A42</f>
        <v xml:space="preserve">B3A Unit no. 21, End Unit, Plan 7, Duplex 2 Plan 7 </v>
      </c>
      <c r="B245" s="388">
        <f>0</f>
        <v>0</v>
      </c>
      <c r="C245" s="388">
        <f>'Prominence II'!H42</f>
        <v>212.12</v>
      </c>
      <c r="D245" s="388"/>
      <c r="E245" s="388"/>
      <c r="F245" s="388">
        <v>19502990.359999999</v>
      </c>
      <c r="G245" s="388">
        <f>'Prominence II'!L42</f>
        <v>0</v>
      </c>
      <c r="H245" s="389">
        <f t="shared" si="15"/>
        <v>22623500</v>
      </c>
      <c r="I245" s="388">
        <v>13735825.4</v>
      </c>
      <c r="J245" s="390" t="s">
        <v>642</v>
      </c>
      <c r="K245" s="391">
        <f t="shared" si="16"/>
        <v>98130.426530851852</v>
      </c>
      <c r="L245" s="392">
        <f t="shared" si="17"/>
        <v>-3.1352153876692983E-2</v>
      </c>
      <c r="M245" s="345" t="s">
        <v>648</v>
      </c>
      <c r="N245" s="346"/>
    </row>
    <row r="246" spans="1:14" s="110" customFormat="1" ht="29.5" hidden="1" thickBot="1" x14ac:dyDescent="0.4">
      <c r="A246" s="387" t="str">
        <f>'Prominence II'!A43</f>
        <v xml:space="preserve">B3A Unit no. 22, End Unit, Plan 4, Duplex 1 Plan 4 </v>
      </c>
      <c r="B246" s="388">
        <f>0</f>
        <v>0</v>
      </c>
      <c r="C246" s="388">
        <f>'Prominence II'!H43</f>
        <v>195.08</v>
      </c>
      <c r="D246" s="388"/>
      <c r="E246" s="388"/>
      <c r="F246" s="388">
        <v>19502991.359999999</v>
      </c>
      <c r="G246" s="388">
        <f>'Prominence II'!L43</f>
        <v>0</v>
      </c>
      <c r="H246" s="389">
        <f t="shared" si="15"/>
        <v>22623500</v>
      </c>
      <c r="I246" s="388">
        <v>13735826.4</v>
      </c>
      <c r="J246" s="390" t="s">
        <v>642</v>
      </c>
      <c r="K246" s="391">
        <f t="shared" si="16"/>
        <v>98945.801924497049</v>
      </c>
      <c r="L246" s="392">
        <f t="shared" si="17"/>
        <v>8.3090986401536376E-3</v>
      </c>
      <c r="M246" s="345" t="s">
        <v>648</v>
      </c>
      <c r="N246" s="346"/>
    </row>
    <row r="247" spans="1:14" s="110" customFormat="1" ht="29.5" hidden="1" thickBot="1" x14ac:dyDescent="0.4">
      <c r="A247" s="387" t="str">
        <f>'Prominence II'!A44</f>
        <v xml:space="preserve">B3A Unit no. 23, End Unit, Plan 5, Duplex 1 Plan 5 </v>
      </c>
      <c r="B247" s="388">
        <f>0</f>
        <v>0</v>
      </c>
      <c r="C247" s="388">
        <f>'Prominence II'!H44</f>
        <v>214.84</v>
      </c>
      <c r="D247" s="388"/>
      <c r="E247" s="388"/>
      <c r="F247" s="388">
        <v>19502992.359999999</v>
      </c>
      <c r="G247" s="388">
        <f>'Prominence II'!L44</f>
        <v>0</v>
      </c>
      <c r="H247" s="389">
        <f t="shared" si="15"/>
        <v>22623500</v>
      </c>
      <c r="I247" s="388">
        <v>13735827.4</v>
      </c>
      <c r="J247" s="390" t="s">
        <v>642</v>
      </c>
      <c r="K247" s="391">
        <f t="shared" si="16"/>
        <v>96999.76416366412</v>
      </c>
      <c r="L247" s="392">
        <f t="shared" si="17"/>
        <v>-1.9667714273698036E-2</v>
      </c>
      <c r="M247" s="345" t="s">
        <v>648</v>
      </c>
      <c r="N247" s="346"/>
    </row>
    <row r="248" spans="1:14" s="110" customFormat="1" ht="29.5" hidden="1" thickBot="1" x14ac:dyDescent="0.4">
      <c r="A248" s="387" t="str">
        <f>'Prominence II'!A45</f>
        <v xml:space="preserve">B3A Unit no. 24, End Unit, Plan 6, Duplex 2 Plan 6 </v>
      </c>
      <c r="B248" s="388">
        <f>0</f>
        <v>0</v>
      </c>
      <c r="C248" s="388">
        <f>'Prominence II'!H45</f>
        <v>222.77</v>
      </c>
      <c r="D248" s="388"/>
      <c r="E248" s="388"/>
      <c r="F248" s="388">
        <v>19502993.359999999</v>
      </c>
      <c r="G248" s="388">
        <f>'Prominence II'!L45</f>
        <v>0</v>
      </c>
      <c r="H248" s="389">
        <f t="shared" si="15"/>
        <v>22623500</v>
      </c>
      <c r="I248" s="388">
        <v>13735828.4</v>
      </c>
      <c r="J248" s="390" t="s">
        <v>642</v>
      </c>
      <c r="K248" s="391">
        <f t="shared" si="16"/>
        <v>97442.405231660887</v>
      </c>
      <c r="L248" s="392">
        <f t="shared" si="17"/>
        <v>4.5633210741617344E-3</v>
      </c>
      <c r="M248" s="345" t="s">
        <v>648</v>
      </c>
      <c r="N248" s="346"/>
    </row>
    <row r="249" spans="1:14" s="110" customFormat="1" ht="29.5" hidden="1" thickBot="1" x14ac:dyDescent="0.4">
      <c r="A249" s="387" t="str">
        <f>'Prominence II'!A46</f>
        <v xml:space="preserve">B3A Unit no. 25, End Unit, Plan 7, Duplex 2 Plan 7 </v>
      </c>
      <c r="B249" s="388">
        <f>0</f>
        <v>0</v>
      </c>
      <c r="C249" s="388">
        <f>'Prominence II'!H46</f>
        <v>212.12</v>
      </c>
      <c r="D249" s="388"/>
      <c r="E249" s="388"/>
      <c r="F249" s="388">
        <v>19502994.359999999</v>
      </c>
      <c r="G249" s="388">
        <f>'Prominence II'!L46</f>
        <v>0</v>
      </c>
      <c r="H249" s="389">
        <f t="shared" si="15"/>
        <v>22623500</v>
      </c>
      <c r="I249" s="388">
        <v>13735829.4</v>
      </c>
      <c r="J249" s="390" t="s">
        <v>642</v>
      </c>
      <c r="K249" s="391">
        <f t="shared" si="16"/>
        <v>90931.03834059462</v>
      </c>
      <c r="L249" s="392">
        <f t="shared" si="17"/>
        <v>-6.6822723388098401E-2</v>
      </c>
      <c r="M249" s="345" t="s">
        <v>648</v>
      </c>
      <c r="N249" s="346"/>
    </row>
    <row r="250" spans="1:14" s="110" customFormat="1" ht="29.5" hidden="1" thickBot="1" x14ac:dyDescent="0.4">
      <c r="A250" s="387" t="str">
        <f>'Prominence II'!A47</f>
        <v xml:space="preserve">B3A Unit no. 28, End Unit, Plan 7, Duplex 2 Plan 7 </v>
      </c>
      <c r="B250" s="388">
        <f>0</f>
        <v>0</v>
      </c>
      <c r="C250" s="388">
        <f>'Prominence II'!H47</f>
        <v>212.12</v>
      </c>
      <c r="D250" s="388"/>
      <c r="E250" s="388"/>
      <c r="F250" s="388">
        <v>19502995.359999999</v>
      </c>
      <c r="G250" s="388">
        <f>'Prominence II'!L47</f>
        <v>0</v>
      </c>
      <c r="H250" s="389">
        <f t="shared" si="15"/>
        <v>22623500</v>
      </c>
      <c r="I250" s="388">
        <v>13735830.4</v>
      </c>
      <c r="J250" s="390" t="s">
        <v>642</v>
      </c>
      <c r="K250" s="391">
        <f t="shared" si="16"/>
        <v>93321.204451084341</v>
      </c>
      <c r="L250" s="392">
        <f t="shared" si="17"/>
        <v>2.6285481328575923E-2</v>
      </c>
      <c r="M250" s="345" t="s">
        <v>648</v>
      </c>
      <c r="N250" s="346"/>
    </row>
    <row r="251" spans="1:14" s="110" customFormat="1" ht="29.5" hidden="1" thickBot="1" x14ac:dyDescent="0.4">
      <c r="A251" s="387" t="str">
        <f>'Prominence II'!A48</f>
        <v xml:space="preserve">B3A Unit no. 29, End Unit, Plan 6, Duplex 2 Plan 6 </v>
      </c>
      <c r="B251" s="388">
        <f>0</f>
        <v>0</v>
      </c>
      <c r="C251" s="388">
        <f>'Prominence II'!H48</f>
        <v>222.77</v>
      </c>
      <c r="D251" s="388"/>
      <c r="E251" s="388"/>
      <c r="F251" s="388">
        <v>19502996.359999999</v>
      </c>
      <c r="G251" s="388">
        <f>'Prominence II'!L48</f>
        <v>0</v>
      </c>
      <c r="H251" s="389">
        <f t="shared" si="15"/>
        <v>22623500</v>
      </c>
      <c r="I251" s="388">
        <v>13735831.4</v>
      </c>
      <c r="J251" s="390" t="s">
        <v>642</v>
      </c>
      <c r="K251" s="391">
        <f t="shared" si="16"/>
        <v>94907.123830739787</v>
      </c>
      <c r="L251" s="392">
        <f t="shared" si="17"/>
        <v>1.6994201789227108E-2</v>
      </c>
      <c r="M251" s="345" t="s">
        <v>648</v>
      </c>
      <c r="N251" s="346"/>
    </row>
    <row r="252" spans="1:14" s="110" customFormat="1" ht="44" hidden="1" thickBot="1" x14ac:dyDescent="0.4">
      <c r="A252" s="387" t="str">
        <f>'Prominence II'!A49</f>
        <v xml:space="preserve">B5 Unit no. 10, Madonna, Single Detached Single Detached </v>
      </c>
      <c r="B252" s="388">
        <f>0</f>
        <v>0</v>
      </c>
      <c r="C252" s="388">
        <f>'Prominence II'!H49</f>
        <v>230.99</v>
      </c>
      <c r="D252" s="388"/>
      <c r="E252" s="388"/>
      <c r="F252" s="388">
        <v>19502997.359999999</v>
      </c>
      <c r="G252" s="388">
        <f>'Prominence II'!L49</f>
        <v>0</v>
      </c>
      <c r="H252" s="389">
        <f t="shared" si="15"/>
        <v>22623500</v>
      </c>
      <c r="I252" s="388">
        <v>13735832.4</v>
      </c>
      <c r="J252" s="390" t="s">
        <v>642</v>
      </c>
      <c r="K252" s="391">
        <f t="shared" si="16"/>
        <v>90822.836362883754</v>
      </c>
      <c r="L252" s="392">
        <f t="shared" si="17"/>
        <v>-4.3034572148030463E-2</v>
      </c>
      <c r="M252" s="345" t="s">
        <v>648</v>
      </c>
      <c r="N252" s="346"/>
    </row>
    <row r="253" spans="1:14" s="110" customFormat="1" ht="44" hidden="1" thickBot="1" x14ac:dyDescent="0.4">
      <c r="A253" s="387" t="str">
        <f>'Prominence II'!A50</f>
        <v xml:space="preserve">B5 Unit no. 3, Mona Lisa, Single Detached Single Detached </v>
      </c>
      <c r="B253" s="388">
        <f>0</f>
        <v>0</v>
      </c>
      <c r="C253" s="388">
        <f>'Prominence II'!H50</f>
        <v>185.96</v>
      </c>
      <c r="D253" s="388"/>
      <c r="E253" s="388"/>
      <c r="F253" s="388">
        <v>19502998.359999999</v>
      </c>
      <c r="G253" s="388">
        <f>'Prominence II'!L50</f>
        <v>0</v>
      </c>
      <c r="H253" s="389">
        <f t="shared" si="15"/>
        <v>22623500</v>
      </c>
      <c r="I253" s="388">
        <v>13735833.4</v>
      </c>
      <c r="J253" s="390" t="s">
        <v>642</v>
      </c>
      <c r="K253" s="391">
        <f t="shared" si="16"/>
        <v>92069.084349609489</v>
      </c>
      <c r="L253" s="392">
        <f t="shared" si="17"/>
        <v>1.372174704769554E-2</v>
      </c>
      <c r="M253" s="345" t="s">
        <v>648</v>
      </c>
      <c r="N253" s="346"/>
    </row>
    <row r="254" spans="1:14" s="110" customFormat="1" ht="44" hidden="1" thickBot="1" x14ac:dyDescent="0.4">
      <c r="A254" s="387" t="str">
        <f>'Prominence II'!A51</f>
        <v xml:space="preserve">B5 Unit no. 5, Mona Lisa, Single Detached Single Detached </v>
      </c>
      <c r="B254" s="388">
        <f>0</f>
        <v>0</v>
      </c>
      <c r="C254" s="388">
        <f>'Prominence II'!H51</f>
        <v>185.96</v>
      </c>
      <c r="D254" s="388"/>
      <c r="E254" s="388"/>
      <c r="F254" s="388">
        <v>19502999.359999999</v>
      </c>
      <c r="G254" s="388">
        <f>'Prominence II'!L51</f>
        <v>0</v>
      </c>
      <c r="H254" s="389">
        <f t="shared" si="15"/>
        <v>22623500</v>
      </c>
      <c r="I254" s="388">
        <v>13735834.4</v>
      </c>
      <c r="J254" s="390" t="s">
        <v>642</v>
      </c>
      <c r="K254" s="391">
        <f t="shared" si="16"/>
        <v>91884.497848505474</v>
      </c>
      <c r="L254" s="392">
        <f t="shared" si="17"/>
        <v>-2.0048695217071305E-3</v>
      </c>
      <c r="M254" s="345" t="s">
        <v>648</v>
      </c>
      <c r="N254" s="346"/>
    </row>
    <row r="255" spans="1:14" s="110" customFormat="1" ht="29.5" hidden="1" thickBot="1" x14ac:dyDescent="0.4">
      <c r="A255" s="387" t="str">
        <f>'Prominence II'!A52</f>
        <v xml:space="preserve">B5 Unit no. 6, Madonna, Single Detached Single Detached </v>
      </c>
      <c r="B255" s="388">
        <f>0</f>
        <v>0</v>
      </c>
      <c r="C255" s="388">
        <f>'Prominence II'!H52</f>
        <v>230.99</v>
      </c>
      <c r="D255" s="388"/>
      <c r="E255" s="388"/>
      <c r="F255" s="388">
        <v>19503000.359999999</v>
      </c>
      <c r="G255" s="388">
        <f>'Prominence II'!L52</f>
        <v>0</v>
      </c>
      <c r="H255" s="389">
        <f t="shared" si="15"/>
        <v>22623500</v>
      </c>
      <c r="I255" s="388">
        <v>13735835.4</v>
      </c>
      <c r="J255" s="390" t="s">
        <v>642</v>
      </c>
      <c r="K255" s="391">
        <f t="shared" si="16"/>
        <v>91620.714709259832</v>
      </c>
      <c r="L255" s="392">
        <f t="shared" si="17"/>
        <v>-2.8708122199302341E-3</v>
      </c>
      <c r="M255" s="345" t="s">
        <v>648</v>
      </c>
      <c r="N255" s="346"/>
    </row>
    <row r="256" spans="1:14" s="110" customFormat="1" ht="44" hidden="1" thickBot="1" x14ac:dyDescent="0.4">
      <c r="A256" s="387" t="str">
        <f>'Prominence II'!A53</f>
        <v xml:space="preserve">B5 Unit no. 7, Mona Lisa, Single Detached Single Detached </v>
      </c>
      <c r="B256" s="388">
        <f>0</f>
        <v>0</v>
      </c>
      <c r="C256" s="388">
        <f>'Prominence II'!H53</f>
        <v>185.96</v>
      </c>
      <c r="D256" s="388"/>
      <c r="E256" s="388"/>
      <c r="F256" s="388">
        <v>19503001.359999999</v>
      </c>
      <c r="G256" s="388">
        <f>'Prominence II'!L53</f>
        <v>0</v>
      </c>
      <c r="H256" s="389">
        <f t="shared" si="15"/>
        <v>22623500</v>
      </c>
      <c r="I256" s="388">
        <v>13735836.4</v>
      </c>
      <c r="J256" s="390" t="s">
        <v>642</v>
      </c>
      <c r="K256" s="391">
        <f t="shared" si="16"/>
        <v>94270.509004001186</v>
      </c>
      <c r="L256" s="392">
        <f t="shared" si="17"/>
        <v>2.8921344950756503E-2</v>
      </c>
      <c r="M256" s="345" t="s">
        <v>648</v>
      </c>
      <c r="N256" s="346"/>
    </row>
    <row r="257" spans="1:14" s="110" customFormat="1" ht="29.5" hidden="1" thickBot="1" x14ac:dyDescent="0.4">
      <c r="A257" s="387" t="str">
        <f>'Prominence II'!A54</f>
        <v xml:space="preserve">B5 Unit no. 8, Madonna, Single Detached Single Detached </v>
      </c>
      <c r="B257" s="388">
        <f>0</f>
        <v>0</v>
      </c>
      <c r="C257" s="388">
        <f>'Prominence II'!H54</f>
        <v>230.99</v>
      </c>
      <c r="D257" s="388"/>
      <c r="E257" s="388"/>
      <c r="F257" s="388">
        <v>19503002.359999999</v>
      </c>
      <c r="G257" s="388">
        <f>'Prominence II'!L54</f>
        <v>0</v>
      </c>
      <c r="H257" s="389">
        <f t="shared" si="15"/>
        <v>22623500</v>
      </c>
      <c r="I257" s="388">
        <v>13735837.4</v>
      </c>
      <c r="J257" s="390" t="s">
        <v>642</v>
      </c>
      <c r="K257" s="391">
        <f t="shared" si="16"/>
        <v>92354.430352839656</v>
      </c>
      <c r="L257" s="392">
        <f t="shared" si="17"/>
        <v>-2.0325324127402393E-2</v>
      </c>
      <c r="M257" s="345" t="s">
        <v>648</v>
      </c>
      <c r="N257" s="346"/>
    </row>
    <row r="258" spans="1:14" s="110" customFormat="1" ht="44" hidden="1" thickBot="1" x14ac:dyDescent="0.4">
      <c r="A258" s="387" t="str">
        <f>'Prominence II'!A55</f>
        <v xml:space="preserve">B5 Unit no. 9, Mona Lisa, Single Detached Single Detached </v>
      </c>
      <c r="B258" s="388">
        <f>0</f>
        <v>0</v>
      </c>
      <c r="C258" s="388">
        <f>'Prominence II'!H55</f>
        <v>185.96</v>
      </c>
      <c r="D258" s="388"/>
      <c r="E258" s="388"/>
      <c r="F258" s="388">
        <v>19503003.359999999</v>
      </c>
      <c r="G258" s="388">
        <f>'Prominence II'!L55</f>
        <v>0</v>
      </c>
      <c r="H258" s="389">
        <f t="shared" si="15"/>
        <v>22623500</v>
      </c>
      <c r="I258" s="388">
        <v>13735838.4</v>
      </c>
      <c r="J258" s="390" t="s">
        <v>642</v>
      </c>
      <c r="K258" s="391">
        <f t="shared" si="16"/>
        <v>93248.860328844268</v>
      </c>
      <c r="L258" s="392">
        <f t="shared" si="17"/>
        <v>9.6847544030908648E-3</v>
      </c>
      <c r="M258" s="345" t="s">
        <v>648</v>
      </c>
      <c r="N258" s="346"/>
    </row>
    <row r="259" spans="1:14" s="110" customFormat="1" ht="29.5" hidden="1" thickBot="1" x14ac:dyDescent="0.4">
      <c r="A259" s="387" t="str">
        <f>'Prominence II'!A56</f>
        <v xml:space="preserve">B1 Unit no. 13, End Unit, Plan 3, Bldg. 2 Plan 3 </v>
      </c>
      <c r="B259" s="388">
        <f>0</f>
        <v>0</v>
      </c>
      <c r="C259" s="388">
        <f>'Prominence II'!H56</f>
        <v>209.82</v>
      </c>
      <c r="D259" s="388"/>
      <c r="E259" s="388"/>
      <c r="F259" s="388">
        <v>19503004.359999999</v>
      </c>
      <c r="G259" s="388">
        <f>'Prominence II'!L56</f>
        <v>0</v>
      </c>
      <c r="H259" s="389">
        <f t="shared" si="15"/>
        <v>22623500</v>
      </c>
      <c r="I259" s="388">
        <v>13735839.4</v>
      </c>
      <c r="J259" s="390" t="s">
        <v>642</v>
      </c>
      <c r="K259" s="391">
        <f t="shared" si="16"/>
        <v>94432.818420981843</v>
      </c>
      <c r="L259" s="392">
        <f t="shared" si="17"/>
        <v>1.2696756699892299E-2</v>
      </c>
      <c r="M259" s="345" t="s">
        <v>648</v>
      </c>
      <c r="N259" s="346"/>
    </row>
    <row r="260" spans="1:14" s="110" customFormat="1" ht="29.5" hidden="1" thickBot="1" x14ac:dyDescent="0.4">
      <c r="A260" s="387" t="str">
        <f>'Prominence II'!A57</f>
        <v xml:space="preserve">B1 Unit no. 14, Inner Unit, Plan 1, Bldg. 2 Plan 1 </v>
      </c>
      <c r="B260" s="388">
        <f>0</f>
        <v>0</v>
      </c>
      <c r="C260" s="388">
        <f>'Prominence II'!H57</f>
        <v>134.87</v>
      </c>
      <c r="D260" s="388"/>
      <c r="E260" s="388"/>
      <c r="F260" s="388">
        <v>19503005.359999999</v>
      </c>
      <c r="G260" s="388">
        <f>'Prominence II'!L57</f>
        <v>0</v>
      </c>
      <c r="H260" s="389">
        <f t="shared" si="15"/>
        <v>22623500</v>
      </c>
      <c r="I260" s="388">
        <v>13735840.4</v>
      </c>
      <c r="J260" s="390" t="s">
        <v>642</v>
      </c>
      <c r="K260" s="391">
        <f t="shared" si="16"/>
        <v>99582.447955611788</v>
      </c>
      <c r="L260" s="392">
        <f t="shared" si="17"/>
        <v>5.4532202053663992E-2</v>
      </c>
      <c r="M260" s="345" t="s">
        <v>648</v>
      </c>
      <c r="N260" s="346"/>
    </row>
    <row r="261" spans="1:14" s="110" customFormat="1" ht="29.5" hidden="1" thickBot="1" x14ac:dyDescent="0.4">
      <c r="A261" s="387" t="str">
        <f>'Prominence II'!A58</f>
        <v xml:space="preserve">B1 Unit no. 15, End Unit, Plan 3A, Bldg. 2 Plan 3 </v>
      </c>
      <c r="B261" s="388">
        <f>0</f>
        <v>0</v>
      </c>
      <c r="C261" s="388">
        <f>'Prominence II'!H58</f>
        <v>209.82</v>
      </c>
      <c r="D261" s="388"/>
      <c r="E261" s="388"/>
      <c r="F261" s="388">
        <v>19503006.359999999</v>
      </c>
      <c r="G261" s="388">
        <f>'Prominence II'!L58</f>
        <v>0</v>
      </c>
      <c r="H261" s="389">
        <f t="shared" si="15"/>
        <v>22623500</v>
      </c>
      <c r="I261" s="388">
        <v>13735841.4</v>
      </c>
      <c r="J261" s="390" t="s">
        <v>642</v>
      </c>
      <c r="K261" s="391">
        <f t="shared" si="16"/>
        <v>97670.197780918577</v>
      </c>
      <c r="L261" s="392">
        <f t="shared" si="17"/>
        <v>-1.9202682942134373E-2</v>
      </c>
      <c r="M261" s="345" t="s">
        <v>648</v>
      </c>
      <c r="N261" s="346"/>
    </row>
    <row r="262" spans="1:14" s="110" customFormat="1" ht="29.5" hidden="1" thickBot="1" x14ac:dyDescent="0.4">
      <c r="A262" s="387" t="str">
        <f>'Prominence II'!A59</f>
        <v xml:space="preserve">B1 Unit no. 4, End Unit, Plan 3, Bldg. 2 Plan 3 </v>
      </c>
      <c r="B262" s="388">
        <f>0</f>
        <v>0</v>
      </c>
      <c r="C262" s="388">
        <f>'Prominence II'!H59</f>
        <v>209.82</v>
      </c>
      <c r="D262" s="388"/>
      <c r="E262" s="388"/>
      <c r="F262" s="388">
        <v>19503007.359999999</v>
      </c>
      <c r="G262" s="388">
        <f>'Prominence II'!L59</f>
        <v>0</v>
      </c>
      <c r="H262" s="389">
        <f t="shared" si="15"/>
        <v>22623500</v>
      </c>
      <c r="I262" s="388">
        <v>13735842.4</v>
      </c>
      <c r="J262" s="390" t="s">
        <v>642</v>
      </c>
      <c r="K262" s="391">
        <f t="shared" si="16"/>
        <v>95957.308710816651</v>
      </c>
      <c r="L262" s="392">
        <f t="shared" si="17"/>
        <v>-1.7537479282514225E-2</v>
      </c>
      <c r="M262" s="345" t="s">
        <v>648</v>
      </c>
      <c r="N262" s="346"/>
    </row>
    <row r="263" spans="1:14" s="110" customFormat="1" ht="44" hidden="1" thickBot="1" x14ac:dyDescent="0.4">
      <c r="A263" s="387" t="str">
        <f>'Prominence II'!A60</f>
        <v xml:space="preserve">B1A Unit no. 1, Madonna, Single Detached Single Detached </v>
      </c>
      <c r="B263" s="388">
        <f>0</f>
        <v>0</v>
      </c>
      <c r="C263" s="388">
        <f>'Prominence II'!H60</f>
        <v>230.99</v>
      </c>
      <c r="D263" s="388"/>
      <c r="E263" s="388"/>
      <c r="F263" s="388">
        <v>19503008.359999999</v>
      </c>
      <c r="G263" s="388">
        <f>'Prominence II'!L60</f>
        <v>0</v>
      </c>
      <c r="H263" s="389">
        <f t="shared" si="15"/>
        <v>22623500</v>
      </c>
      <c r="I263" s="388">
        <v>13735843.4</v>
      </c>
      <c r="J263" s="390" t="s">
        <v>642</v>
      </c>
      <c r="K263" s="391">
        <f t="shared" si="16"/>
        <v>98379.117268900751</v>
      </c>
      <c r="L263" s="392">
        <f t="shared" si="17"/>
        <v>2.5238396018198297E-2</v>
      </c>
      <c r="M263" s="345" t="s">
        <v>648</v>
      </c>
      <c r="N263" s="346"/>
    </row>
    <row r="264" spans="1:14" s="110" customFormat="1" ht="29.5" hidden="1" thickBot="1" x14ac:dyDescent="0.4">
      <c r="A264" s="387" t="str">
        <f>'Prominence II'!A61</f>
        <v xml:space="preserve">B1A Unit no. 2, End Unit, Plan 6, Duplex 2 Plan 6 </v>
      </c>
      <c r="B264" s="388">
        <f>0</f>
        <v>0</v>
      </c>
      <c r="C264" s="388">
        <f>'Prominence II'!H61</f>
        <v>222.77</v>
      </c>
      <c r="D264" s="388"/>
      <c r="E264" s="388"/>
      <c r="F264" s="388">
        <v>19503009.359999999</v>
      </c>
      <c r="G264" s="388">
        <f>'Prominence II'!L61</f>
        <v>0</v>
      </c>
      <c r="H264" s="389">
        <f t="shared" si="15"/>
        <v>22623500</v>
      </c>
      <c r="I264" s="388">
        <v>13735844.4</v>
      </c>
      <c r="J264" s="390" t="s">
        <v>642</v>
      </c>
      <c r="K264" s="391">
        <f t="shared" si="16"/>
        <v>96390.470203185076</v>
      </c>
      <c r="L264" s="392">
        <f t="shared" si="17"/>
        <v>-2.0214117801851013E-2</v>
      </c>
      <c r="M264" s="345" t="s">
        <v>648</v>
      </c>
      <c r="N264" s="346"/>
    </row>
    <row r="265" spans="1:14" s="110" customFormat="1" ht="29.5" hidden="1" thickBot="1" x14ac:dyDescent="0.4">
      <c r="A265" s="387" t="str">
        <f>'Prominence II'!A62</f>
        <v xml:space="preserve">B1A Unit no. 3, End Unit, Plan 7, Duplex 2 Plan 7 </v>
      </c>
      <c r="B265" s="388">
        <f>0</f>
        <v>0</v>
      </c>
      <c r="C265" s="388">
        <f>'Prominence II'!H62</f>
        <v>212.12</v>
      </c>
      <c r="D265" s="388"/>
      <c r="E265" s="388"/>
      <c r="F265" s="388">
        <v>19503010.359999999</v>
      </c>
      <c r="G265" s="388">
        <f>'Prominence II'!L62</f>
        <v>0</v>
      </c>
      <c r="H265" s="389">
        <f t="shared" si="15"/>
        <v>22623500</v>
      </c>
      <c r="I265" s="388">
        <v>13735845.4</v>
      </c>
      <c r="J265" s="390" t="s">
        <v>642</v>
      </c>
      <c r="K265" s="391">
        <f t="shared" si="16"/>
        <v>95025.366097143735</v>
      </c>
      <c r="L265" s="392">
        <f t="shared" si="17"/>
        <v>-1.4162231008561187E-2</v>
      </c>
      <c r="M265" s="345" t="s">
        <v>648</v>
      </c>
      <c r="N265" s="346"/>
    </row>
    <row r="266" spans="1:14" s="110" customFormat="1" ht="29.5" hidden="1" thickBot="1" x14ac:dyDescent="0.4">
      <c r="A266" s="387" t="str">
        <f>'Prominence II'!A63</f>
        <v xml:space="preserve">B1B Unit no. 22, End Unit, Plan 7, Duplex 2 Plan 7 </v>
      </c>
      <c r="B266" s="388">
        <f>0</f>
        <v>0</v>
      </c>
      <c r="C266" s="388">
        <f>'Prominence II'!H63</f>
        <v>212.12</v>
      </c>
      <c r="D266" s="388"/>
      <c r="E266" s="388"/>
      <c r="F266" s="388">
        <v>19503011.359999999</v>
      </c>
      <c r="G266" s="388">
        <f>'Prominence II'!L63</f>
        <v>0</v>
      </c>
      <c r="H266" s="389">
        <f t="shared" si="15"/>
        <v>22623500</v>
      </c>
      <c r="I266" s="388">
        <v>13735846.4</v>
      </c>
      <c r="J266" s="390" t="s">
        <v>642</v>
      </c>
      <c r="K266" s="391">
        <f t="shared" si="16"/>
        <v>96006.139201111422</v>
      </c>
      <c r="L266" s="392">
        <f t="shared" si="17"/>
        <v>1.03211715381875E-2</v>
      </c>
      <c r="M266" s="345" t="s">
        <v>648</v>
      </c>
      <c r="N266" s="346"/>
    </row>
    <row r="267" spans="1:14" s="110" customFormat="1" ht="29.5" hidden="1" thickBot="1" x14ac:dyDescent="0.4">
      <c r="A267" s="387" t="str">
        <f>'Prominence II'!A64</f>
        <v xml:space="preserve">B1B Unit no. 23, End Unit, Plan 6, Duplex 2 Plan 6 </v>
      </c>
      <c r="B267" s="388">
        <f>0</f>
        <v>0</v>
      </c>
      <c r="C267" s="388">
        <f>'Prominence II'!H64</f>
        <v>222.77</v>
      </c>
      <c r="D267" s="388"/>
      <c r="E267" s="388"/>
      <c r="F267" s="388">
        <v>19503012.359999999</v>
      </c>
      <c r="G267" s="388">
        <f>'Prominence II'!L64</f>
        <v>0</v>
      </c>
      <c r="H267" s="389">
        <f t="shared" si="15"/>
        <v>22623500</v>
      </c>
      <c r="I267" s="388">
        <v>13735847.4</v>
      </c>
      <c r="J267" s="390" t="s">
        <v>642</v>
      </c>
      <c r="K267" s="391">
        <f t="shared" si="16"/>
        <v>93055.115778759151</v>
      </c>
      <c r="L267" s="392">
        <f t="shared" si="17"/>
        <v>-3.0737861629562418E-2</v>
      </c>
      <c r="M267" s="345" t="s">
        <v>648</v>
      </c>
      <c r="N267" s="346"/>
    </row>
    <row r="268" spans="1:14" s="110" customFormat="1" ht="29.5" hidden="1" thickBot="1" x14ac:dyDescent="0.4">
      <c r="A268" s="387" t="str">
        <f>'Prominence II'!A65</f>
        <v xml:space="preserve">B2 Unit no. 10, Inner Unit, Plan 1, Bldg. 2 Plan 1 </v>
      </c>
      <c r="B268" s="388">
        <f>0</f>
        <v>0</v>
      </c>
      <c r="C268" s="388">
        <f>'Prominence II'!H65</f>
        <v>134.87</v>
      </c>
      <c r="D268" s="388"/>
      <c r="E268" s="388"/>
      <c r="F268" s="388">
        <v>19503013.359999999</v>
      </c>
      <c r="G268" s="388">
        <f>'Prominence II'!L65</f>
        <v>0</v>
      </c>
      <c r="H268" s="389">
        <f t="shared" si="15"/>
        <v>22623500</v>
      </c>
      <c r="I268" s="388">
        <v>13735848.4</v>
      </c>
      <c r="J268" s="390" t="s">
        <v>642</v>
      </c>
      <c r="K268" s="391">
        <f t="shared" si="16"/>
        <v>95330.908648519486</v>
      </c>
      <c r="L268" s="392">
        <f t="shared" si="17"/>
        <v>2.4456397165429238E-2</v>
      </c>
      <c r="M268" s="345" t="s">
        <v>648</v>
      </c>
      <c r="N268" s="346"/>
    </row>
    <row r="269" spans="1:14" s="110" customFormat="1" ht="29.5" hidden="1" thickBot="1" x14ac:dyDescent="0.4">
      <c r="A269" s="387" t="str">
        <f>'Prominence II'!A66</f>
        <v xml:space="preserve">B2 Unit no. 12, End Unit, Plan 3, Bldg. 2 Plan 3 </v>
      </c>
      <c r="B269" s="388">
        <f>0</f>
        <v>0</v>
      </c>
      <c r="C269" s="388">
        <f>'Prominence II'!H66</f>
        <v>209.82</v>
      </c>
      <c r="D269" s="388"/>
      <c r="E269" s="388"/>
      <c r="F269" s="388">
        <v>19503014.359999999</v>
      </c>
      <c r="G269" s="388">
        <f>'Prominence II'!L66</f>
        <v>0</v>
      </c>
      <c r="H269" s="389">
        <f t="shared" si="15"/>
        <v>22623500</v>
      </c>
      <c r="I269" s="388">
        <v>13735849.4</v>
      </c>
      <c r="J269" s="390" t="s">
        <v>642</v>
      </c>
      <c r="K269" s="391">
        <f t="shared" si="16"/>
        <v>94111.356624309716</v>
      </c>
      <c r="L269" s="392">
        <f t="shared" si="17"/>
        <v>-1.2792829120156614E-2</v>
      </c>
      <c r="M269" s="345" t="s">
        <v>648</v>
      </c>
      <c r="N269" s="346"/>
    </row>
    <row r="270" spans="1:14" s="110" customFormat="1" ht="29.5" hidden="1" thickBot="1" x14ac:dyDescent="0.4">
      <c r="A270" s="387" t="str">
        <f>'Prominence II'!A67</f>
        <v xml:space="preserve">B2 Unit no. 15, Inner Unit, Plan 1, Bldg. 2 Plan 1 </v>
      </c>
      <c r="B270" s="388">
        <f>0</f>
        <v>0</v>
      </c>
      <c r="C270" s="388">
        <f>'Prominence II'!H67</f>
        <v>134.87</v>
      </c>
      <c r="D270" s="388"/>
      <c r="E270" s="388"/>
      <c r="F270" s="388">
        <v>19503015.359999999</v>
      </c>
      <c r="G270" s="388">
        <f>'Prominence II'!L67</f>
        <v>0</v>
      </c>
      <c r="H270" s="389">
        <f t="shared" si="15"/>
        <v>22623500</v>
      </c>
      <c r="I270" s="388">
        <v>13735850.4</v>
      </c>
      <c r="J270" s="390" t="s">
        <v>642</v>
      </c>
      <c r="K270" s="391">
        <f t="shared" si="16"/>
        <v>102336.22915111939</v>
      </c>
      <c r="L270" s="392">
        <f t="shared" si="17"/>
        <v>8.739511172539112E-2</v>
      </c>
      <c r="M270" s="345" t="s">
        <v>648</v>
      </c>
      <c r="N270" s="346"/>
    </row>
    <row r="271" spans="1:14" s="110" customFormat="1" ht="29.5" hidden="1" thickBot="1" x14ac:dyDescent="0.4">
      <c r="A271" s="387" t="str">
        <f>'Prominence II'!A68</f>
        <v xml:space="preserve">B2 Unit no. 2, End Unit, Plan 3, Bldg. 2 Plan 3 </v>
      </c>
      <c r="B271" s="388">
        <f>0</f>
        <v>0</v>
      </c>
      <c r="C271" s="388">
        <f>'Prominence II'!H68</f>
        <v>209.82</v>
      </c>
      <c r="D271" s="388"/>
      <c r="E271" s="388"/>
      <c r="F271" s="388">
        <v>19503016.359999999</v>
      </c>
      <c r="G271" s="388">
        <f>'Prominence II'!L68</f>
        <v>0</v>
      </c>
      <c r="H271" s="389">
        <f t="shared" si="15"/>
        <v>22623500</v>
      </c>
      <c r="I271" s="388">
        <v>13735851.4</v>
      </c>
      <c r="J271" s="390" t="s">
        <v>642</v>
      </c>
      <c r="K271" s="391">
        <f t="shared" si="16"/>
        <v>99225.038858551241</v>
      </c>
      <c r="L271" s="392">
        <f t="shared" si="17"/>
        <v>-3.0401650699615586E-2</v>
      </c>
      <c r="M271" s="345" t="s">
        <v>648</v>
      </c>
      <c r="N271" s="346"/>
    </row>
    <row r="272" spans="1:14" s="110" customFormat="1" ht="29.5" hidden="1" thickBot="1" x14ac:dyDescent="0.4">
      <c r="A272" s="387" t="str">
        <f>'Prominence II'!A69</f>
        <v xml:space="preserve">B2 Unit no. 4, Inner Unit, Plan 1, Bldg. 2 Plan 1 </v>
      </c>
      <c r="B272" s="388">
        <f>0</f>
        <v>0</v>
      </c>
      <c r="C272" s="388">
        <f>'Prominence II'!H69</f>
        <v>134.87</v>
      </c>
      <c r="D272" s="388"/>
      <c r="E272" s="388"/>
      <c r="F272" s="388">
        <v>19503017.359999999</v>
      </c>
      <c r="G272" s="388">
        <f>'Prominence II'!L69</f>
        <v>0</v>
      </c>
      <c r="H272" s="389">
        <f t="shared" si="15"/>
        <v>22623500</v>
      </c>
      <c r="I272" s="388">
        <v>13735852.4</v>
      </c>
      <c r="J272" s="390" t="s">
        <v>642</v>
      </c>
      <c r="K272" s="391">
        <f t="shared" si="16"/>
        <v>104413.30468508341</v>
      </c>
      <c r="L272" s="392">
        <f t="shared" si="17"/>
        <v>5.2287868931230358E-2</v>
      </c>
      <c r="M272" s="345" t="s">
        <v>648</v>
      </c>
      <c r="N272" s="346"/>
    </row>
    <row r="273" spans="1:14" s="110" customFormat="1" ht="29.5" hidden="1" thickBot="1" x14ac:dyDescent="0.4">
      <c r="A273" s="387" t="str">
        <f>'Prominence II'!A70</f>
        <v xml:space="preserve">B2 Unit no. 6, End Unit, Plan 3A, Bldg. 2 Plan 3A </v>
      </c>
      <c r="B273" s="388">
        <f>0</f>
        <v>0</v>
      </c>
      <c r="C273" s="388">
        <f>'Prominence II'!H70</f>
        <v>209.82</v>
      </c>
      <c r="D273" s="388"/>
      <c r="E273" s="388"/>
      <c r="F273" s="388">
        <v>19503018.359999999</v>
      </c>
      <c r="G273" s="388">
        <f>'Prominence II'!L70</f>
        <v>0</v>
      </c>
      <c r="H273" s="389">
        <f t="shared" si="15"/>
        <v>22623500</v>
      </c>
      <c r="I273" s="388">
        <v>13735853.4</v>
      </c>
      <c r="J273" s="390" t="s">
        <v>642</v>
      </c>
      <c r="K273" s="391">
        <f t="shared" si="16"/>
        <v>103254.28820847672</v>
      </c>
      <c r="L273" s="392">
        <f t="shared" si="17"/>
        <v>-1.1100275775221838E-2</v>
      </c>
      <c r="M273" s="345" t="s">
        <v>648</v>
      </c>
      <c r="N273" s="346"/>
    </row>
    <row r="274" spans="1:14" s="110" customFormat="1" ht="29.5" hidden="1" thickBot="1" x14ac:dyDescent="0.4">
      <c r="A274" s="387" t="str">
        <f>'Prominence II'!A71</f>
        <v xml:space="preserve">B2 Unit no. 7, End Unit, Plan 3A, Bldg. 2 Plan 3A </v>
      </c>
      <c r="B274" s="388">
        <f>0</f>
        <v>0</v>
      </c>
      <c r="C274" s="388">
        <f>'Prominence II'!H71</f>
        <v>209.82</v>
      </c>
      <c r="D274" s="388"/>
      <c r="E274" s="388"/>
      <c r="F274" s="388">
        <v>19503019.359999999</v>
      </c>
      <c r="G274" s="388">
        <f>'Prominence II'!L71</f>
        <v>0</v>
      </c>
      <c r="H274" s="389">
        <f t="shared" si="15"/>
        <v>22623500</v>
      </c>
      <c r="I274" s="388">
        <v>13735854.4</v>
      </c>
      <c r="J274" s="390" t="s">
        <v>642</v>
      </c>
      <c r="K274" s="391">
        <f t="shared" si="16"/>
        <v>103897.25306168354</v>
      </c>
      <c r="L274" s="392">
        <f t="shared" si="17"/>
        <v>6.2270038790896388E-3</v>
      </c>
      <c r="M274" s="345" t="s">
        <v>648</v>
      </c>
      <c r="N274" s="346"/>
    </row>
    <row r="275" spans="1:14" s="110" customFormat="1" ht="29.5" hidden="1" thickBot="1" x14ac:dyDescent="0.4">
      <c r="A275" s="387" t="str">
        <f>'Prominence II'!A72</f>
        <v xml:space="preserve">B2 Unit no. 8, End Unit, Plan 3A, Bldg. 2 Plan 3A </v>
      </c>
      <c r="B275" s="388">
        <f>0</f>
        <v>0</v>
      </c>
      <c r="C275" s="388">
        <f>'Prominence II'!H72</f>
        <v>209.82</v>
      </c>
      <c r="D275" s="388"/>
      <c r="E275" s="388"/>
      <c r="F275" s="388">
        <v>19503020.359999999</v>
      </c>
      <c r="G275" s="388">
        <f>'Prominence II'!L72</f>
        <v>0</v>
      </c>
      <c r="H275" s="389">
        <f t="shared" si="15"/>
        <v>22623500</v>
      </c>
      <c r="I275" s="388">
        <v>13735855.4</v>
      </c>
      <c r="J275" s="390" t="s">
        <v>642</v>
      </c>
      <c r="K275" s="391">
        <f t="shared" si="16"/>
        <v>105369.18247360177</v>
      </c>
      <c r="L275" s="392">
        <f t="shared" si="17"/>
        <v>1.4167163890698338E-2</v>
      </c>
      <c r="M275" s="345" t="s">
        <v>648</v>
      </c>
      <c r="N275" s="346"/>
    </row>
  </sheetData>
  <sheetProtection algorithmName="SHA-512" hashValue="yBzAxrr5fpIx8DA65uf/wbLosu76ebExy0TuCGYms5ui2D/yduFG7/RwF/Kll0hP29gcj9GUoiwNF4Wg7bYeTw==" saltValue="Ff1ZypT6D63THQtdDyi8qw==" spinCount="100000" sheet="1" objects="1" scenarios="1"/>
  <mergeCells count="3">
    <mergeCell ref="A10:M10"/>
    <mergeCell ref="A11:M11"/>
    <mergeCell ref="A12:M12"/>
  </mergeCells>
  <pageMargins left="1" right="1" top="1" bottom="1" header="0.5" footer="0.5"/>
  <pageSetup paperSize="5" scale="63" fitToHeight="0" orientation="portrait" r:id="rId1"/>
  <rowBreaks count="1" manualBreakCount="1">
    <brk id="138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FCFB8056D5D342AC98735C959B996E" ma:contentTypeVersion="8" ma:contentTypeDescription="Create a new document." ma:contentTypeScope="" ma:versionID="285d5318de91e1f21f43c123d86c3cf4">
  <xsd:schema xmlns:xsd="http://www.w3.org/2001/XMLSchema" xmlns:xs="http://www.w3.org/2001/XMLSchema" xmlns:p="http://schemas.microsoft.com/office/2006/metadata/properties" xmlns:ns3="84932277-eeac-4180-8369-28a2c69f6f0b" targetNamespace="http://schemas.microsoft.com/office/2006/metadata/properties" ma:root="true" ma:fieldsID="e8cdb2fe357f02d4e15b4819d1eb5e48" ns3:_="">
    <xsd:import namespace="84932277-eeac-4180-8369-28a2c69f6f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932277-eeac-4180-8369-28a2c69f6f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40FC407-4849-4F58-A1AF-9FD799A6AF02}">
  <ds:schemaRefs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84932277-eeac-4180-8369-28a2c69f6f0b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D03C0384-97C7-462E-AB5B-3196E1A5A4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932277-eeac-4180-8369-28a2c69f6f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B6774E-7FD9-4E50-B2D4-82E4FCBA98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16</vt:i4>
      </vt:variant>
    </vt:vector>
  </HeadingPairs>
  <TitlesOfParts>
    <vt:vector size="43" baseType="lpstr">
      <vt:lpstr>Arborage B</vt:lpstr>
      <vt:lpstr>West Parc</vt:lpstr>
      <vt:lpstr>Meridien</vt:lpstr>
      <vt:lpstr>Woodmore Spring</vt:lpstr>
      <vt:lpstr>Sunshine Place</vt:lpstr>
      <vt:lpstr>Prominence II</vt:lpstr>
      <vt:lpstr>Input</vt:lpstr>
      <vt:lpstr>The Arborage</vt:lpstr>
      <vt:lpstr>Price List</vt:lpstr>
      <vt:lpstr>NPV for Arb B vs Promo Terms</vt:lpstr>
      <vt:lpstr>NPV for Arborage B</vt:lpstr>
      <vt:lpstr>NPV</vt:lpstr>
      <vt:lpstr>Summary - All Clusters</vt:lpstr>
      <vt:lpstr>Summary - Arborage B</vt:lpstr>
      <vt:lpstr>Spot Cash</vt:lpstr>
      <vt:lpstr>Cash 95-5 (For ARB B)</vt:lpstr>
      <vt:lpstr>50k MA(23)-2.5%Bullet (ARB B)</vt:lpstr>
      <vt:lpstr>50k MA(23)-5% Bullet (ARB B)</vt:lpstr>
      <vt:lpstr>30-70 (36)</vt:lpstr>
      <vt:lpstr>10-40(24)-50</vt:lpstr>
      <vt:lpstr>Cash 30</vt:lpstr>
      <vt:lpstr>30-70 (30)</vt:lpstr>
      <vt:lpstr>10-90</vt:lpstr>
      <vt:lpstr>10 (mo 1-23)-2% Bullet</vt:lpstr>
      <vt:lpstr>10-10-80</vt:lpstr>
      <vt:lpstr>20-40-40</vt:lpstr>
      <vt:lpstr>25-25-50</vt:lpstr>
      <vt:lpstr>'10 (mo 1-23)-2% Bullet'!Print_Area</vt:lpstr>
      <vt:lpstr>'10-10-80'!Print_Area</vt:lpstr>
      <vt:lpstr>'10-40(24)-50'!Print_Area</vt:lpstr>
      <vt:lpstr>'10-90'!Print_Area</vt:lpstr>
      <vt:lpstr>'20-40-40'!Print_Area</vt:lpstr>
      <vt:lpstr>'25-25-50'!Print_Area</vt:lpstr>
      <vt:lpstr>'30-70 (30)'!Print_Area</vt:lpstr>
      <vt:lpstr>'30-70 (36)'!Print_Area</vt:lpstr>
      <vt:lpstr>'50k MA(23)-2.5%Bullet (ARB B)'!Print_Area</vt:lpstr>
      <vt:lpstr>'50k MA(23)-5% Bullet (ARB B)'!Print_Area</vt:lpstr>
      <vt:lpstr>'Cash 30'!Print_Area</vt:lpstr>
      <vt:lpstr>'Cash 95-5 (For ARB B)'!Print_Area</vt:lpstr>
      <vt:lpstr>'Price List'!Print_Area</vt:lpstr>
      <vt:lpstr>'Summary - All Clusters'!Print_Area</vt:lpstr>
      <vt:lpstr>'Summary - Arborage B'!Print_Area</vt:lpstr>
      <vt:lpstr>'Price List'!Print_Titles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Cesar's Latest Lap T</dc:creator>
  <cp:keywords/>
  <dc:description/>
  <cp:lastModifiedBy>Pauline Regine</cp:lastModifiedBy>
  <cp:lastPrinted>2020-08-17T04:10:30Z</cp:lastPrinted>
  <dcterms:created xsi:type="dcterms:W3CDTF">2018-03-07T08:22:54Z</dcterms:created>
  <dcterms:modified xsi:type="dcterms:W3CDTF">2020-08-18T00:55:09Z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0x01010056FCFB8056D5D342AC98735C959B996E</vt:lpwstr>
  </property>
</Properties>
</file>