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activeTab="1"/>
  </bookViews>
  <sheets>
    <sheet name="STANDARD - SPOT CASH" sheetId="1" r:id="rId1"/>
    <sheet name="PROMO - 10% SPOT 10% IN 24MOS" sheetId="2" r:id="rId2"/>
    <sheet name="PROMO - 20% IN 24MOS" sheetId="3" r:id="rId3"/>
  </sheets>
  <definedNames>
    <definedName name="ACServiceFee" localSheetId="1">'PROMO - 10% SPOT 10% IN 24MOS'!$G$30</definedName>
    <definedName name="ACServiceFee" localSheetId="2">'PROMO - 20% IN 24MOS'!$G$30</definedName>
    <definedName name="ACServiceFee">'STANDARD - SPOT CASH'!$G$29</definedName>
    <definedName name="AllowedDefMonths" localSheetId="2">'PROMO - 20% IN 24MOS'!$G$7</definedName>
    <definedName name="AllowedDefMonths">'PROMO - 10% SPOT 10% IN 24MOS'!$G$7</definedName>
    <definedName name="BookingDiscount" localSheetId="1">'PROMO - 10% SPOT 10% IN 24MOS'!$G$18</definedName>
    <definedName name="BookingDiscount" localSheetId="2">'PROMO - 20% IN 24MOS'!$G$18</definedName>
    <definedName name="BookingDiscount">'STANDARD - SPOT CASH'!$G$17</definedName>
    <definedName name="BulkDiscount" localSheetId="1">'PROMO - 10% SPOT 10% IN 24MOS'!$G$21</definedName>
    <definedName name="BulkDiscount" localSheetId="2">'PROMO - 20% IN 24MOS'!$G$21</definedName>
    <definedName name="BulkDiscount">'STANDARD - SPOT CASH'!$G$20</definedName>
    <definedName name="CommittedSalesDiscount" localSheetId="1">'PROMO - 10% SPOT 10% IN 24MOS'!$G$17</definedName>
    <definedName name="CommittedSalesDiscount" localSheetId="2">'PROMO - 20% IN 24MOS'!$G$17</definedName>
    <definedName name="CommittedSalesDiscount">'STANDARD - SPOT CASH'!$G$16</definedName>
    <definedName name="Discount1Desc" localSheetId="1">'PROMO - 10% SPOT 10% IN 24MOS'!$B$23</definedName>
    <definedName name="Discount1Desc" localSheetId="2">'PROMO - 20% IN 24MOS'!$B$23</definedName>
    <definedName name="Discount1Desc">'STANDARD - SPOT CASH'!$B$22</definedName>
    <definedName name="Discount1Value" localSheetId="1">'PROMO - 10% SPOT 10% IN 24MOS'!$G$23</definedName>
    <definedName name="Discount1Value" localSheetId="2">'PROMO - 20% IN 24MOS'!$G$23</definedName>
    <definedName name="Discount1Value">'STANDARD - SPOT CASH'!$G$22</definedName>
    <definedName name="Discount2Desc" localSheetId="1">'PROMO - 10% SPOT 10% IN 24MOS'!$B$24</definedName>
    <definedName name="Discount2Desc" localSheetId="2">'PROMO - 20% IN 24MOS'!$B$24</definedName>
    <definedName name="Discount2Desc">'STANDARD - SPOT CASH'!$B$23</definedName>
    <definedName name="Discount2Value" localSheetId="1">'PROMO - 10% SPOT 10% IN 24MOS'!$G$24</definedName>
    <definedName name="Discount2Value" localSheetId="2">'PROMO - 20% IN 24MOS'!$G$24</definedName>
    <definedName name="Discount2Value">'STANDARD - SPOT CASH'!$G$23</definedName>
    <definedName name="Downpayment" localSheetId="1">'PROMO - 10% SPOT 10% IN 24MOS'!$A$35</definedName>
    <definedName name="Downpayment" localSheetId="2">'PROMO - 20% IN 24MOS'!$A$35</definedName>
    <definedName name="Downpayment">'STANDARD - SPOT CASH'!$C$34</definedName>
    <definedName name="DPDate" localSheetId="1">'PROMO - 10% SPOT 10% IN 24MOS'!$F$43</definedName>
    <definedName name="DPDate" localSheetId="2">'PROMO - 20% IN 24MOS'!$D$42</definedName>
    <definedName name="DPDate">'STANDARD - SPOT CASH'!$E$33</definedName>
    <definedName name="EmployeeDiscount" localSheetId="1">'PROMO - 10% SPOT 10% IN 24MOS'!$G$20</definedName>
    <definedName name="EmployeeDiscount" localSheetId="2">'PROMO - 20% IN 24MOS'!$G$20</definedName>
    <definedName name="EmployeeDiscount">'STANDARD - SPOT CASH'!$G$19</definedName>
    <definedName name="Floor" localSheetId="1">'PROMO - 10% SPOT 10% IN 24MOS'!$C$9</definedName>
    <definedName name="Floor" localSheetId="2">'PROMO - 20% IN 24MOS'!$C$9</definedName>
    <definedName name="Floor">'STANDARD - SPOT CASH'!$C$8</definedName>
    <definedName name="FloorArea" localSheetId="1">'PROMO - 10% SPOT 10% IN 24MOS'!$D$9</definedName>
    <definedName name="FloorArea" localSheetId="2">'PROMO - 20% IN 24MOS'!$D$9</definedName>
    <definedName name="FloorArea">'STANDARD - SPOT CASH'!$D$8</definedName>
    <definedName name="LumpOCDate" localSheetId="1">'PROMO - 10% SPOT 10% IN 24MOS'!$B$26</definedName>
    <definedName name="LumpOCDate" localSheetId="2">'PROMO - 20% IN 24MOS'!$B$26</definedName>
    <definedName name="LumpOCDate">'STANDARD - SPOT CASH'!$B$25</definedName>
    <definedName name="Mode" localSheetId="1">'PROMO - 10% SPOT 10% IN 24MOS'!$D$6</definedName>
    <definedName name="Mode" localSheetId="2">'PROMO - 20% IN 24MOS'!$D$6</definedName>
    <definedName name="Mode">'STANDARD - SPOT CASH'!$D$5</definedName>
    <definedName name="Model" localSheetId="1">'PROMO - 10% SPOT 10% IN 24MOS'!$F$9</definedName>
    <definedName name="Model" localSheetId="2">'PROMO - 20% IN 24MOS'!$F$9</definedName>
    <definedName name="Model">'STANDARD - SPOT CASH'!$F$8</definedName>
    <definedName name="NoDPSchedule" localSheetId="1">'PROMO - 10% SPOT 10% IN 24MOS'!$A$49</definedName>
    <definedName name="NoDPSchedule" localSheetId="2">'PROMO - 20% IN 24MOS'!$A$41</definedName>
    <definedName name="NoDPSchedule">'STANDARD - SPOT CASH'!$B$34</definedName>
    <definedName name="Note1" localSheetId="1">'PROMO - 10% SPOT 10% IN 24MOS'!$A$82</definedName>
    <definedName name="Note1" localSheetId="2">'PROMO - 20% IN 24MOS'!$A$74</definedName>
    <definedName name="Note1">'STANDARD - SPOT CASH'!$A$36</definedName>
    <definedName name="OtherBSDiscount" localSheetId="1">'PROMO - 10% SPOT 10% IN 24MOS'!$G$19</definedName>
    <definedName name="OtherBSDiscount" localSheetId="2">'PROMO - 20% IN 24MOS'!$G$19</definedName>
    <definedName name="OtherBSDiscount">'STANDARD - SPOT CASH'!$G$18</definedName>
    <definedName name="OtherChargesPercentage" localSheetId="1">'PROMO - 10% SPOT 10% IN 24MOS'!$A$28</definedName>
    <definedName name="OtherChargesPercentage" localSheetId="2">'PROMO - 20% IN 24MOS'!$A$28</definedName>
    <definedName name="OtherChargesPercentage">'STANDARD - SPOT CASH'!$A$27</definedName>
    <definedName name="OtherDiscount" localSheetId="1">'PROMO - 10% SPOT 10% IN 24MOS'!$G$22</definedName>
    <definedName name="OtherDiscount" localSheetId="2">'PROMO - 20% IN 24MOS'!$G$22</definedName>
    <definedName name="OtherDiscount">'STANDARD - SPOT CASH'!$G$21</definedName>
    <definedName name="OtherRSDiscount" localSheetId="1">'PROMO - 10% SPOT 10% IN 24MOS'!$G$16</definedName>
    <definedName name="OtherRSDiscount" localSheetId="2">'PROMO - 20% IN 24MOS'!$G$16</definedName>
    <definedName name="OtherRSDiscount">'STANDARD - SPOT CASH'!$G$15</definedName>
    <definedName name="Payee" localSheetId="1">'PROMO - 10% SPOT 10% IN 24MOS'!$A$91</definedName>
    <definedName name="Payee" localSheetId="2">'PROMO - 20% IN 24MOS'!$A$83</definedName>
    <definedName name="Payee">'STANDARD - SPOT CASH'!$A$45</definedName>
    <definedName name="PercentageDiscount" localSheetId="1">'PROMO - 10% SPOT 10% IN 24MOS'!$A$14</definedName>
    <definedName name="PercentageDiscount" localSheetId="2">'PROMO - 20% IN 24MOS'!$A$14</definedName>
    <definedName name="PercentageDiscount">'STANDARD - SPOT CASH'!$A$13</definedName>
    <definedName name="_xlnm.Print_Area" localSheetId="1">'PROMO - 10% SPOT 10% IN 24MOS'!$A$3:$G$91</definedName>
    <definedName name="ProjectDateCompletion">'STANDARD - SPOT CASH'!$G$6</definedName>
    <definedName name="ProjectName" localSheetId="1">'PROMO - 10% SPOT 10% IN 24MOS'!$A$5</definedName>
    <definedName name="ProjectName" localSheetId="2">'PROMO - 20% IN 24MOS'!$A$5</definedName>
    <definedName name="ProjectName">'STANDARD - SPOT CASH'!$A$4</definedName>
    <definedName name="ReservationDate" localSheetId="1">'PROMO - 10% SPOT 10% IN 24MOS'!$F$38</definedName>
    <definedName name="ReservationDate" localSheetId="2">'PROMO - 20% IN 24MOS'!$F$38</definedName>
    <definedName name="ReservationDate">'STANDARD - SPOT CASH'!$E$32</definedName>
    <definedName name="ReservationDiscount" localSheetId="1">'PROMO - 10% SPOT 10% IN 24MOS'!$G$15</definedName>
    <definedName name="ReservationDiscount" localSheetId="2">'PROMO - 20% IN 24MOS'!$G$15</definedName>
    <definedName name="ReservationDiscount">'STANDARD - SPOT CASH'!$G$14</definedName>
    <definedName name="ReservationFee" localSheetId="1">'PROMO - 10% SPOT 10% IN 24MOS'!$G$38</definedName>
    <definedName name="ReservationFee" localSheetId="2">'PROMO - 20% IN 24MOS'!$G$38</definedName>
    <definedName name="ReservationFee">'STANDARD - SPOT CASH'!$G$32</definedName>
    <definedName name="SellingPrice" localSheetId="1">'PROMO - 10% SPOT 10% IN 24MOS'!$G$12</definedName>
    <definedName name="SellingPrice" localSheetId="2">'PROMO - 20% IN 24MOS'!$G$12</definedName>
    <definedName name="SellingPrice">'STANDARD - SPOT CASH'!$G$11</definedName>
    <definedName name="ServiceFee" localSheetId="1">'PROMO - 10% SPOT 10% IN 24MOS'!$G$29</definedName>
    <definedName name="ServiceFee" localSheetId="2">'PROMO - 20% IN 24MOS'!$G$29</definedName>
    <definedName name="ServiceFee">'STANDARD - SPOT CASH'!$G$28</definedName>
    <definedName name="SpotDownpayment" localSheetId="1">'PROMO - 10% SPOT 10% IN 24MOS'!$A$41</definedName>
    <definedName name="SpotDownpayment" localSheetId="2">'PROMO - 20% IN 24MOS'!$A$40</definedName>
    <definedName name="SpotDownpayment">'STANDARD - SPOT CASH'!$A$34</definedName>
    <definedName name="StandardDiscount" localSheetId="1">'PROMO - 10% SPOT 10% IN 24MOS'!$G$14</definedName>
    <definedName name="StandardDiscount" localSheetId="2">'PROMO - 20% IN 24MOS'!$G$14</definedName>
    <definedName name="StandardDiscount">'STANDARD - SPOT CASH'!$G$13</definedName>
    <definedName name="TotalOtherCharges" localSheetId="1">'PROMO - 10% SPOT 10% IN 24MOS'!$G$28</definedName>
    <definedName name="TotalOtherCharges" localSheetId="2">'PROMO - 20% IN 24MOS'!$G$28</definedName>
    <definedName name="TotalOtherCharges">'STANDARD - SPOT CASH'!$G$27</definedName>
    <definedName name="Tower" localSheetId="1">'PROMO - 10% SPOT 10% IN 24MOS'!$A$9</definedName>
    <definedName name="Tower" localSheetId="2">'PROMO - 20% IN 24MOS'!$A$9</definedName>
    <definedName name="Tower">'STANDARD - SPOT CASH'!$A$8</definedName>
    <definedName name="Unit" localSheetId="1">'PROMO - 10% SPOT 10% IN 24MOS'!$B$9</definedName>
    <definedName name="Unit" localSheetId="2">'PROMO - 20% IN 24MOS'!$B$9</definedName>
    <definedName name="Unit">'STANDARD - SPOT CASH'!$B$8</definedName>
  </definedNames>
  <calcPr fullCalcOnLoad="1"/>
</workbook>
</file>

<file path=xl/sharedStrings.xml><?xml version="1.0" encoding="utf-8"?>
<sst xmlns="http://schemas.openxmlformats.org/spreadsheetml/2006/main" count="230" uniqueCount="87">
  <si>
    <t>SPOT CASH</t>
  </si>
  <si>
    <t>AVIDA LAND CORP.</t>
  </si>
  <si>
    <t>CUSTOMER SERVICE UNIT</t>
  </si>
  <si>
    <t>Tower</t>
  </si>
  <si>
    <t>Unit</t>
  </si>
  <si>
    <t>Floor</t>
  </si>
  <si>
    <t>Floor Area</t>
  </si>
  <si>
    <t>Model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</si>
  <si>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</si>
  <si>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</si>
  <si>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</si>
  <si>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</si>
  <si>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</si>
  <si>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</si>
  <si>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</si>
  <si>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</si>
  <si>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</si>
  <si>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</si>
  <si>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</si>
  <si>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</si>
  <si>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</si>
  <si>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</si>
  <si>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</si>
  <si>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</si>
  <si>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</si>
  <si>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</si>
  <si>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</si>
  <si>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</si>
  <si>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</si>
  <si>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</si>
  <si>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</si>
  <si>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</si>
  <si>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</si>
  <si>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</si>
  <si>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</si>
  <si>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</si>
  <si>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</si>
  <si>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</si>
  <si>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</si>
  <si>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</si>
  <si>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</si>
  <si>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</si>
  <si>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</si>
  <si>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</si>
  <si>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</si>
  <si>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</si>
  <si>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</si>
  <si>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</si>
  <si>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</si>
  <si>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</si>
  <si>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</si>
  <si>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</si>
  <si>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</si>
  <si>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</si>
  <si>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</si>
  <si>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</si>
  <si>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</si>
  <si>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</si>
  <si>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</si>
  <si>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</si>
  <si>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</si>
  <si>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</si>
  <si>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</si>
  <si>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</si>
  <si>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</si>
  <si>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</si>
  <si>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</si>
  <si>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</si>
  <si>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</si>
  <si>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</si>
  <si>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</si>
  <si>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</si>
  <si>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</si>
  <si>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</si>
  <si>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</si>
  <si>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</si>
  <si>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</si>
  <si>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Local Discount</t>
  </si>
  <si>
    <t>LOCAL DISCOUNT IS APPLICABLE ONLY TO FILIPINO CLIENTS</t>
  </si>
  <si>
    <t>AVIDA TOWERS INTIMA</t>
  </si>
  <si>
    <t>2 BEDROOM(AS-IS-WHERE-IS)</t>
  </si>
  <si>
    <t>22nd Downpayment due on</t>
  </si>
  <si>
    <t>23rd Downpayment due on</t>
  </si>
  <si>
    <t>24th Downpayment due on</t>
  </si>
  <si>
    <t>Current Price valid until Aug 13 RS</t>
  </si>
  <si>
    <t>PROMO PAYTERM: 10% SPOT 10% IN 24MOS BAL BANK FIN Valid until Aug 31, 2020</t>
  </si>
  <si>
    <t>PROMO PAYTERM: 20% IN 24MOS BAL BANK FIN Valid until Aug 31, 2020</t>
  </si>
</sst>
</file>

<file path=xl/styles.xml><?xml version="1.0" encoding="utf-8"?>
<styleSheet xmlns="http://schemas.openxmlformats.org/spreadsheetml/2006/main">
  <numFmts count="2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_);_(* \(#,##0.0000\);_(* &quot;-&quot;??_);_(@_)"/>
    <numFmt numFmtId="184" formatCode="_(\P\ * #,##0.00_);_(\P\ * \(#,##0.00\);_(\P\ * &quot;-&quot;??_);_(@_)"/>
  </numFmts>
  <fonts count="50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 New"/>
      <family val="0"/>
    </font>
    <font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171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1" fontId="5" fillId="33" borderId="14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73" fontId="1" fillId="33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1" fillId="0" borderId="10" xfId="57" applyNumberFormat="1" applyFont="1" applyFill="1" applyBorder="1" applyAlignment="1" applyProtection="1">
      <alignment/>
      <protection/>
    </xf>
    <xf numFmtId="0" fontId="1" fillId="0" borderId="1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13" xfId="57" applyNumberFormat="1" applyFont="1" applyFill="1" applyBorder="1" applyAlignment="1" applyProtection="1">
      <alignment/>
      <protection/>
    </xf>
    <xf numFmtId="172" fontId="1" fillId="0" borderId="15" xfId="57" applyNumberFormat="1" applyFont="1" applyFill="1" applyBorder="1" applyAlignment="1" applyProtection="1">
      <alignment/>
      <protection/>
    </xf>
    <xf numFmtId="0" fontId="1" fillId="0" borderId="16" xfId="57" applyNumberFormat="1" applyFont="1" applyFill="1" applyBorder="1" applyAlignment="1" applyProtection="1">
      <alignment/>
      <protection/>
    </xf>
    <xf numFmtId="0" fontId="3" fillId="0" borderId="16" xfId="57" applyNumberFormat="1" applyFont="1" applyFill="1" applyBorder="1" applyAlignment="1" applyProtection="1">
      <alignment horizontal="center"/>
      <protection/>
    </xf>
    <xf numFmtId="0" fontId="1" fillId="0" borderId="17" xfId="57" applyNumberFormat="1" applyFont="1" applyFill="1" applyBorder="1" applyAlignment="1" applyProtection="1">
      <alignment/>
      <protection/>
    </xf>
    <xf numFmtId="2" fontId="8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33" borderId="0" xfId="57" applyNumberFormat="1" applyFont="1" applyFill="1" applyBorder="1" applyAlignment="1" applyProtection="1">
      <alignment/>
      <protection/>
    </xf>
    <xf numFmtId="0" fontId="1" fillId="33" borderId="0" xfId="57" applyNumberFormat="1" applyFont="1" applyFill="1" applyBorder="1" applyAlignment="1" applyProtection="1">
      <alignment/>
      <protection/>
    </xf>
    <xf numFmtId="0" fontId="5" fillId="33" borderId="0" xfId="57" applyNumberFormat="1" applyFont="1" applyFill="1" applyBorder="1" applyAlignment="1" applyProtection="1">
      <alignment horizontal="righ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171" fontId="1" fillId="0" borderId="0" xfId="57" applyNumberFormat="1" applyFont="1" applyFill="1" applyBorder="1" applyAlignment="1" applyProtection="1">
      <alignment horizontal="right"/>
      <protection/>
    </xf>
    <xf numFmtId="172" fontId="1" fillId="0" borderId="0" xfId="57" applyNumberFormat="1" applyFont="1" applyFill="1" applyBorder="1" applyAlignment="1" applyProtection="1">
      <alignment/>
      <protection/>
    </xf>
    <xf numFmtId="171" fontId="1" fillId="0" borderId="0" xfId="57" applyNumberFormat="1" applyFont="1" applyFill="1" applyBorder="1" applyAlignment="1" applyProtection="1">
      <alignment/>
      <protection/>
    </xf>
    <xf numFmtId="171" fontId="5" fillId="0" borderId="0" xfId="57" applyNumberFormat="1" applyFont="1" applyFill="1" applyBorder="1" applyAlignment="1" applyProtection="1">
      <alignment/>
      <protection/>
    </xf>
    <xf numFmtId="172" fontId="1" fillId="33" borderId="0" xfId="57" applyNumberFormat="1" applyFont="1" applyFill="1" applyBorder="1" applyAlignment="1" applyProtection="1">
      <alignment/>
      <protection/>
    </xf>
    <xf numFmtId="171" fontId="5" fillId="33" borderId="14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/>
      <protection/>
    </xf>
    <xf numFmtId="172" fontId="5" fillId="0" borderId="0" xfId="57" applyNumberFormat="1" applyFont="1" applyFill="1" applyBorder="1" applyAlignment="1" applyProtection="1">
      <alignment/>
      <protection/>
    </xf>
    <xf numFmtId="173" fontId="1" fillId="0" borderId="0" xfId="57" applyNumberFormat="1" applyFont="1" applyFill="1" applyBorder="1" applyAlignment="1" applyProtection="1">
      <alignment horizontal="center"/>
      <protection/>
    </xf>
    <xf numFmtId="173" fontId="1" fillId="33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right"/>
      <protection/>
    </xf>
    <xf numFmtId="174" fontId="1" fillId="0" borderId="0" xfId="57" applyNumberFormat="1" applyFont="1" applyFill="1" applyBorder="1" applyAlignment="1" applyProtection="1">
      <alignment/>
      <protection/>
    </xf>
    <xf numFmtId="0" fontId="6" fillId="0" borderId="0" xfId="57" applyNumberFormat="1" applyFont="1" applyFill="1" applyBorder="1" applyAlignment="1" applyProtection="1">
      <alignment/>
      <protection/>
    </xf>
    <xf numFmtId="175" fontId="5" fillId="0" borderId="14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/>
      <protection/>
    </xf>
    <xf numFmtId="176" fontId="5" fillId="0" borderId="0" xfId="57" applyNumberFormat="1" applyFont="1" applyFill="1" applyBorder="1" applyAlignment="1" applyProtection="1">
      <alignment/>
      <protection/>
    </xf>
    <xf numFmtId="0" fontId="10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173" fontId="6" fillId="0" borderId="0" xfId="57" applyNumberFormat="1" applyFont="1" applyFill="1" applyBorder="1" applyAlignment="1" applyProtection="1">
      <alignment horizontal="center" vertical="center" wrapText="1"/>
      <protection/>
    </xf>
    <xf numFmtId="176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NumberFormat="1" applyFont="1" applyFill="1" applyBorder="1" applyAlignment="1" applyProtection="1">
      <alignment horizontal="right" indent="2"/>
      <protection/>
    </xf>
    <xf numFmtId="173" fontId="1" fillId="0" borderId="0" xfId="57" applyNumberFormat="1" applyFont="1" applyFill="1" applyBorder="1" applyAlignment="1" applyProtection="1">
      <alignment horizontal="center" vertical="center"/>
      <protection/>
    </xf>
    <xf numFmtId="171" fontId="1" fillId="0" borderId="0" xfId="57" applyNumberFormat="1" applyFont="1" applyFill="1" applyBorder="1" applyAlignment="1" applyProtection="1">
      <alignment horizontal="center"/>
      <protection/>
    </xf>
    <xf numFmtId="177" fontId="1" fillId="0" borderId="0" xfId="57" applyNumberFormat="1" applyFont="1" applyFill="1" applyBorder="1" applyAlignment="1" applyProtection="1">
      <alignment horizontal="center"/>
      <protection/>
    </xf>
    <xf numFmtId="178" fontId="5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83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0" fontId="11" fillId="34" borderId="0" xfId="57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right" indent="2"/>
      <protection/>
    </xf>
    <xf numFmtId="0" fontId="2" fillId="0" borderId="14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1" fillId="34" borderId="0" xfId="57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34" borderId="0" xfId="57" applyNumberFormat="1" applyFont="1" applyFill="1" applyBorder="1" applyAlignment="1" applyProtection="1">
      <alignment/>
      <protection/>
    </xf>
    <xf numFmtId="0" fontId="49" fillId="34" borderId="0" xfId="57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57" applyNumberFormat="1" applyFont="1" applyFill="1" applyBorder="1" applyAlignment="1" applyProtection="1">
      <alignment/>
      <protection/>
    </xf>
    <xf numFmtId="0" fontId="11" fillId="34" borderId="0" xfId="57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34" borderId="0" xfId="57" applyNumberFormat="1" applyFont="1" applyFill="1" applyBorder="1" applyAlignment="1" applyProtection="1">
      <alignment/>
      <protection/>
    </xf>
    <xf numFmtId="0" fontId="49" fillId="34" borderId="0" xfId="57" applyNumberFormat="1" applyFont="1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G10" sqref="G10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2.75" customHeight="1" thickBot="1">
      <c r="A1" s="87" t="s">
        <v>78</v>
      </c>
      <c r="B1" s="88"/>
      <c r="C1" s="88"/>
      <c r="D1" s="88"/>
      <c r="E1" s="88"/>
    </row>
    <row r="2" spans="1:7" ht="14.25" customHeight="1" thickTop="1">
      <c r="A2" s="2" t="s">
        <v>0</v>
      </c>
      <c r="B2" s="89" t="s">
        <v>1</v>
      </c>
      <c r="C2" s="89"/>
      <c r="D2" s="89"/>
      <c r="E2" s="89"/>
      <c r="F2" s="89"/>
      <c r="G2" s="3"/>
    </row>
    <row r="3" spans="1:7" ht="14.25" customHeight="1">
      <c r="A3" s="4"/>
      <c r="B3" s="91" t="s">
        <v>2</v>
      </c>
      <c r="C3" s="91"/>
      <c r="D3" s="91"/>
      <c r="E3" s="91"/>
      <c r="F3" s="91"/>
      <c r="G3" s="5"/>
    </row>
    <row r="4" spans="1:7" ht="30" customHeight="1">
      <c r="A4" s="92" t="s">
        <v>79</v>
      </c>
      <c r="B4" s="93"/>
      <c r="C4" s="93"/>
      <c r="D4" s="93"/>
      <c r="E4" s="93"/>
      <c r="F4" s="93"/>
      <c r="G4" s="94"/>
    </row>
    <row r="5" spans="1:7" ht="13.5" customHeight="1" thickBot="1">
      <c r="A5" s="32">
        <f>IF(A48&lt;=12,12,A48)</f>
        <v>12</v>
      </c>
      <c r="B5" s="33"/>
      <c r="C5" s="33"/>
      <c r="D5" s="34" t="str">
        <f>IF(A48&gt;G6,"TERM IS SUBJECT FOR APPROVAL","SAMPLE COMPUTATION ONLY")</f>
        <v>SAMPLE COMPUTATION ONLY</v>
      </c>
      <c r="E5" s="33"/>
      <c r="F5" s="33"/>
      <c r="G5" s="35"/>
    </row>
    <row r="6" spans="1:7" ht="13.5" customHeight="1" thickTop="1">
      <c r="A6" s="27"/>
      <c r="B6" s="27"/>
      <c r="C6" s="27"/>
      <c r="D6" s="27"/>
      <c r="E6" s="27"/>
      <c r="F6" s="27"/>
      <c r="G6" s="36">
        <v>24</v>
      </c>
    </row>
    <row r="7" spans="1:7" ht="12.75">
      <c r="A7" s="37" t="s">
        <v>3</v>
      </c>
      <c r="B7" s="37" t="s">
        <v>4</v>
      </c>
      <c r="C7" s="37" t="s">
        <v>5</v>
      </c>
      <c r="D7" s="37" t="s">
        <v>6</v>
      </c>
      <c r="E7" s="37"/>
      <c r="F7" s="95" t="s">
        <v>7</v>
      </c>
      <c r="G7" s="95"/>
    </row>
    <row r="8" spans="1:7" ht="12.75">
      <c r="A8" s="7">
        <v>1</v>
      </c>
      <c r="B8" s="7">
        <v>2217</v>
      </c>
      <c r="C8" s="7">
        <v>22</v>
      </c>
      <c r="D8" s="7">
        <v>63.48</v>
      </c>
      <c r="E8" s="7"/>
      <c r="F8" s="90" t="s">
        <v>80</v>
      </c>
      <c r="G8" s="90"/>
    </row>
    <row r="10" ht="12.75" customHeight="1">
      <c r="G10" s="106" t="s">
        <v>84</v>
      </c>
    </row>
    <row r="11" spans="1:7" ht="13.5" customHeight="1">
      <c r="A11" s="8" t="s">
        <v>8</v>
      </c>
      <c r="B11" s="8"/>
      <c r="C11" s="9"/>
      <c r="D11" s="10"/>
      <c r="E11" s="10"/>
      <c r="F11" s="11" t="s">
        <v>9</v>
      </c>
      <c r="G11" s="12">
        <v>9695840</v>
      </c>
    </row>
    <row r="12" spans="1:7" ht="13.5" customHeight="1">
      <c r="A12" s="1" t="s">
        <v>10</v>
      </c>
      <c r="B12" s="1" t="s">
        <v>11</v>
      </c>
      <c r="C12" s="13"/>
      <c r="F12" s="14"/>
      <c r="G12" s="15">
        <f>ROUND(IF(ISERROR(FIND("PARKING",Model,1)),IF(SellingPrice&gt;3199200,(G11-(G11/1.12)),0),(G11-(G11/1.12))),2)</f>
        <v>1038840</v>
      </c>
    </row>
    <row r="13" spans="1:10" ht="13.5" customHeight="1">
      <c r="A13" s="6">
        <v>5</v>
      </c>
      <c r="B13" s="1" t="str">
        <f>CONCATENATE(A13,"% Spot Cash Discount")</f>
        <v>5% Spot Cash Discount</v>
      </c>
      <c r="F13" s="14"/>
      <c r="G13" s="16">
        <f>((G11-G12)-Discount2Value)*(PercentageDiscount/100)</f>
        <v>389565</v>
      </c>
      <c r="I13" s="16"/>
      <c r="J13" s="16"/>
    </row>
    <row r="14" spans="2:10" ht="13.5" customHeight="1" hidden="1">
      <c r="B14" s="1" t="s">
        <v>12</v>
      </c>
      <c r="G14" s="16">
        <v>0</v>
      </c>
      <c r="I14" s="16"/>
      <c r="J14" s="16"/>
    </row>
    <row r="15" spans="2:10" ht="13.5" customHeight="1" hidden="1">
      <c r="B15" s="1" t="s">
        <v>13</v>
      </c>
      <c r="G15" s="16">
        <v>0</v>
      </c>
      <c r="I15" s="16"/>
      <c r="J15" s="16"/>
    </row>
    <row r="16" spans="2:9" ht="13.5" customHeight="1" hidden="1">
      <c r="B16" s="1" t="s">
        <v>14</v>
      </c>
      <c r="G16" s="16">
        <v>0</v>
      </c>
      <c r="I16" s="16"/>
    </row>
    <row r="17" spans="2:9" ht="13.5" customHeight="1" hidden="1">
      <c r="B17" s="1" t="s">
        <v>15</v>
      </c>
      <c r="G17" s="16">
        <v>0</v>
      </c>
      <c r="I17" s="16"/>
    </row>
    <row r="18" spans="2:9" ht="13.5" customHeight="1" hidden="1">
      <c r="B18" s="1" t="s">
        <v>16</v>
      </c>
      <c r="G18" s="16">
        <v>0</v>
      </c>
      <c r="I18" s="16"/>
    </row>
    <row r="19" spans="2:10" ht="13.5" customHeight="1" hidden="1">
      <c r="B19" s="1" t="s">
        <v>17</v>
      </c>
      <c r="G19" s="16">
        <v>0</v>
      </c>
      <c r="H19" s="16"/>
      <c r="I19" s="16"/>
      <c r="J19" s="16"/>
    </row>
    <row r="20" spans="2:10" ht="13.5" customHeight="1" hidden="1">
      <c r="B20" s="1" t="s">
        <v>18</v>
      </c>
      <c r="G20" s="16">
        <v>0</v>
      </c>
      <c r="J20" s="16"/>
    </row>
    <row r="21" spans="2:10" ht="13.5" customHeight="1" hidden="1">
      <c r="B21" s="1" t="s">
        <v>19</v>
      </c>
      <c r="G21" s="16">
        <v>0</v>
      </c>
      <c r="J21" s="16"/>
    </row>
    <row r="22" spans="2:10" ht="13.5" customHeight="1" hidden="1">
      <c r="B22" s="1" t="s">
        <v>20</v>
      </c>
      <c r="G22" s="16">
        <v>0</v>
      </c>
      <c r="J22" s="16"/>
    </row>
    <row r="23" spans="2:10" ht="13.5" customHeight="1">
      <c r="B23" s="1" t="s">
        <v>21</v>
      </c>
      <c r="G23" s="16">
        <f>(SellingPrice-G12)*10%</f>
        <v>865700</v>
      </c>
      <c r="J23" s="16"/>
    </row>
    <row r="24" spans="6:10" ht="13.5" customHeight="1" thickBot="1">
      <c r="F24" s="14"/>
      <c r="G24" s="17"/>
      <c r="J24" s="16"/>
    </row>
    <row r="25" spans="1:7" ht="13.5" customHeight="1" thickTop="1">
      <c r="A25" s="8" t="s">
        <v>22</v>
      </c>
      <c r="B25" s="18"/>
      <c r="C25" s="10"/>
      <c r="D25" s="10"/>
      <c r="E25" s="10"/>
      <c r="F25" s="11" t="s">
        <v>9</v>
      </c>
      <c r="G25" s="19">
        <f>(G11-G12)-SUM(G13:G23)</f>
        <v>7401735</v>
      </c>
    </row>
    <row r="26" spans="1:7" ht="13.5" customHeight="1">
      <c r="A26" s="1" t="s">
        <v>23</v>
      </c>
      <c r="B26" s="1" t="s">
        <v>11</v>
      </c>
      <c r="G26" s="16">
        <f>ROUND(IF(ISERROR(FIND("PARKING",F8,1)),IF(G25&gt;3199200,G25*12%,0),G25*12%),2)</f>
        <v>888208.2</v>
      </c>
    </row>
    <row r="27" spans="1:7" ht="13.5" customHeight="1" hidden="1">
      <c r="A27" s="6">
        <v>6</v>
      </c>
      <c r="B27" s="1" t="s">
        <v>24</v>
      </c>
      <c r="G27" s="16">
        <f>ROUND(G25*(A27/100),2)</f>
        <v>444104.1</v>
      </c>
    </row>
    <row r="28" spans="1:7" ht="13.5" customHeight="1" hidden="1">
      <c r="A28" s="6"/>
      <c r="B28" s="1" t="s">
        <v>25</v>
      </c>
      <c r="F28" s="6">
        <f>IF(G28&gt;50000,50000,G28)</f>
        <v>0</v>
      </c>
      <c r="G28" s="16">
        <v>0</v>
      </c>
    </row>
    <row r="29" spans="1:7" ht="13.5" customHeight="1" hidden="1">
      <c r="A29" s="6"/>
      <c r="B29" s="1" t="s">
        <v>26</v>
      </c>
      <c r="G29" s="16">
        <v>0</v>
      </c>
    </row>
    <row r="30" spans="1:7" ht="13.5" customHeight="1" thickBot="1">
      <c r="A30" s="6"/>
      <c r="B30" s="1" t="s">
        <v>24</v>
      </c>
      <c r="G30" s="16">
        <f>ROUND(SUM(G27,G29,F28),2)</f>
        <v>444104.1</v>
      </c>
    </row>
    <row r="31" spans="1:7" ht="13.5" customHeight="1" thickTop="1">
      <c r="A31" s="8" t="s">
        <v>27</v>
      </c>
      <c r="B31" s="10"/>
      <c r="C31" s="10"/>
      <c r="D31" s="10"/>
      <c r="E31" s="10"/>
      <c r="F31" s="11" t="s">
        <v>9</v>
      </c>
      <c r="G31" s="19">
        <f>G25+SUM(G26,G30)</f>
        <v>8734047.3</v>
      </c>
    </row>
    <row r="32" spans="1:7" ht="13.5" customHeight="1">
      <c r="A32" s="1" t="s">
        <v>10</v>
      </c>
      <c r="B32" s="1" t="s">
        <v>28</v>
      </c>
      <c r="E32" s="20">
        <f ca="1">NOW()</f>
        <v>44048.817865509256</v>
      </c>
      <c r="G32" s="16">
        <v>20000</v>
      </c>
    </row>
    <row r="33" spans="1:7" ht="13.5" customHeight="1">
      <c r="A33" s="21" t="s">
        <v>29</v>
      </c>
      <c r="B33" s="10"/>
      <c r="C33" s="10"/>
      <c r="D33" s="10"/>
      <c r="E33" s="22">
        <f>ReservationDate+19</f>
        <v>44067.817865509256</v>
      </c>
      <c r="F33" s="11" t="s">
        <v>9</v>
      </c>
      <c r="G33" s="19">
        <f>G31-G32</f>
        <v>8714047.3</v>
      </c>
    </row>
    <row r="34" spans="1:3" ht="12.75">
      <c r="A34" s="6"/>
      <c r="B34" s="6"/>
      <c r="C34" s="23">
        <v>20</v>
      </c>
    </row>
    <row r="35" spans="1:4" ht="12.75">
      <c r="A35" s="24" t="s">
        <v>30</v>
      </c>
      <c r="B35" s="25"/>
      <c r="C35" s="25"/>
      <c r="D35" s="25"/>
    </row>
    <row r="36" spans="1:7" ht="12.75">
      <c r="A36" s="96" t="s">
        <v>31</v>
      </c>
      <c r="B36" s="96"/>
      <c r="C36" s="96"/>
      <c r="D36" s="96"/>
      <c r="E36" s="96"/>
      <c r="F36" s="96"/>
      <c r="G36" s="96"/>
    </row>
    <row r="37" spans="1:4" ht="12.75">
      <c r="A37" s="25" t="s">
        <v>32</v>
      </c>
      <c r="B37" s="25"/>
      <c r="C37" s="25"/>
      <c r="D37" s="25"/>
    </row>
    <row r="38" spans="1:4" ht="12.75">
      <c r="A38" s="25" t="s">
        <v>33</v>
      </c>
      <c r="B38" s="25"/>
      <c r="C38" s="25"/>
      <c r="D38" s="25"/>
    </row>
    <row r="39" spans="1:4" ht="12.75">
      <c r="A39" s="25" t="s">
        <v>34</v>
      </c>
      <c r="B39" s="25"/>
      <c r="C39" s="25"/>
      <c r="D39" s="25"/>
    </row>
    <row r="40" spans="1:4" ht="12.75">
      <c r="A40" s="26" t="s">
        <v>35</v>
      </c>
      <c r="B40" s="25"/>
      <c r="C40" s="25"/>
      <c r="D40" s="25"/>
    </row>
    <row r="41" spans="1:4" ht="12.75">
      <c r="A41" s="26" t="s">
        <v>36</v>
      </c>
      <c r="B41" s="25"/>
      <c r="C41" s="25"/>
      <c r="D41" s="25"/>
    </row>
    <row r="42" spans="1:4" ht="12.75">
      <c r="A42" s="26" t="s">
        <v>37</v>
      </c>
      <c r="B42" s="25"/>
      <c r="C42" s="25"/>
      <c r="D42" s="25"/>
    </row>
    <row r="43" spans="1:4" ht="12.75">
      <c r="A43" s="26" t="s">
        <v>38</v>
      </c>
      <c r="B43" s="25"/>
      <c r="C43" s="25"/>
      <c r="D43" s="25"/>
    </row>
    <row r="44" spans="1:4" ht="12.75">
      <c r="A44" s="26" t="s">
        <v>39</v>
      </c>
      <c r="B44" s="25"/>
      <c r="C44" s="25"/>
      <c r="D44" s="25"/>
    </row>
    <row r="45" spans="1:7" ht="12.75">
      <c r="A45" s="96" t="s">
        <v>40</v>
      </c>
      <c r="B45" s="96"/>
      <c r="C45" s="96"/>
      <c r="D45" s="96"/>
      <c r="E45" s="96"/>
      <c r="F45" s="96"/>
      <c r="G45" s="96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2" dxfId="13" stopIfTrue="1">
      <formula>$G$26=0</formula>
    </cfRule>
  </conditionalFormatting>
  <conditionalFormatting sqref="G12 G26">
    <cfRule type="cellIs" priority="3" dxfId="13" operator="equal" stopIfTrue="1">
      <formula>0</formula>
    </cfRule>
  </conditionalFormatting>
  <conditionalFormatting sqref="B12">
    <cfRule type="expression" priority="4" dxfId="13" stopIfTrue="1">
      <formula>$G$12=0</formula>
    </cfRule>
  </conditionalFormatting>
  <conditionalFormatting sqref="D5">
    <cfRule type="expression" priority="1" dxfId="14" stopIfTrue="1">
      <formula>G6&lt;=TODAY()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1"/>
  <sheetViews>
    <sheetView tabSelected="1" zoomScalePageLayoutView="0" workbookViewId="0" topLeftCell="A1">
      <selection activeCell="D48" sqref="D48"/>
    </sheetView>
  </sheetViews>
  <sheetFormatPr defaultColWidth="9.00390625" defaultRowHeight="12.75" customHeight="1"/>
  <cols>
    <col min="1" max="1" width="13.25390625" style="27" customWidth="1"/>
    <col min="2" max="2" width="14.875" style="27" customWidth="1"/>
    <col min="3" max="3" width="10.625" style="27" customWidth="1"/>
    <col min="4" max="4" width="12.75390625" style="27" customWidth="1"/>
    <col min="5" max="6" width="14.625" style="27" customWidth="1"/>
    <col min="7" max="7" width="18.00390625" style="27" customWidth="1"/>
    <col min="8" max="9" width="15.00390625" style="27" customWidth="1"/>
    <col min="10" max="10" width="14.125" style="27" customWidth="1"/>
    <col min="11" max="16384" width="9.00390625" style="27" customWidth="1"/>
  </cols>
  <sheetData>
    <row r="1" spans="1:10" ht="12.75" customHeight="1">
      <c r="A1" s="112" t="s">
        <v>85</v>
      </c>
      <c r="B1" s="111"/>
      <c r="C1" s="111"/>
      <c r="D1" s="111"/>
      <c r="E1" s="111"/>
      <c r="F1" s="111"/>
      <c r="G1" s="107"/>
      <c r="H1" s="107"/>
      <c r="I1" s="107"/>
      <c r="J1" s="107"/>
    </row>
    <row r="2" spans="1:10" s="1" customFormat="1" ht="12.75" customHeight="1" thickBot="1">
      <c r="A2" s="109" t="s">
        <v>78</v>
      </c>
      <c r="B2" s="110"/>
      <c r="C2" s="110"/>
      <c r="D2" s="110"/>
      <c r="E2" s="110"/>
      <c r="F2" s="110"/>
      <c r="G2" s="108"/>
      <c r="H2" s="108"/>
      <c r="I2" s="108"/>
      <c r="J2" s="108"/>
    </row>
    <row r="3" spans="1:7" ht="14.25" customHeight="1" thickTop="1">
      <c r="A3" s="28"/>
      <c r="B3" s="98" t="s">
        <v>1</v>
      </c>
      <c r="C3" s="98"/>
      <c r="D3" s="98"/>
      <c r="E3" s="98"/>
      <c r="F3" s="98"/>
      <c r="G3" s="29"/>
    </row>
    <row r="4" spans="1:7" ht="14.25" customHeight="1">
      <c r="A4" s="30"/>
      <c r="B4" s="99" t="s">
        <v>2</v>
      </c>
      <c r="C4" s="99"/>
      <c r="D4" s="99"/>
      <c r="E4" s="99"/>
      <c r="F4" s="99"/>
      <c r="G4" s="31"/>
    </row>
    <row r="5" spans="1:7" ht="30" customHeight="1">
      <c r="A5" s="92" t="s">
        <v>79</v>
      </c>
      <c r="B5" s="93"/>
      <c r="C5" s="93"/>
      <c r="D5" s="93"/>
      <c r="E5" s="93"/>
      <c r="F5" s="93"/>
      <c r="G5" s="94"/>
    </row>
    <row r="6" spans="1:7" ht="15" customHeight="1" thickBot="1">
      <c r="A6" s="32">
        <f>IF(A49&lt;=12,12,A49)</f>
        <v>24</v>
      </c>
      <c r="B6" s="33"/>
      <c r="C6" s="33"/>
      <c r="D6" s="34" t="str">
        <f>IF(A49&gt;G7,"TERM IS SUBJECT FOR APPROVAL","SAMPLE COMPUTATION ONLY")</f>
        <v>SAMPLE COMPUTATION ONLY</v>
      </c>
      <c r="E6" s="33"/>
      <c r="F6" s="33"/>
      <c r="G6" s="35"/>
    </row>
    <row r="7" ht="13.5" customHeight="1" thickTop="1">
      <c r="G7" s="36">
        <v>24</v>
      </c>
    </row>
    <row r="8" spans="1:7" ht="12.75">
      <c r="A8" s="37" t="s">
        <v>3</v>
      </c>
      <c r="B8" s="37" t="s">
        <v>4</v>
      </c>
      <c r="C8" s="37" t="s">
        <v>5</v>
      </c>
      <c r="D8" s="37" t="s">
        <v>6</v>
      </c>
      <c r="E8" s="37"/>
      <c r="F8" s="95" t="s">
        <v>7</v>
      </c>
      <c r="G8" s="95"/>
    </row>
    <row r="9" spans="1:7" ht="12.75">
      <c r="A9" s="7">
        <v>1</v>
      </c>
      <c r="B9" s="7">
        <v>2217</v>
      </c>
      <c r="C9" s="7">
        <v>22</v>
      </c>
      <c r="D9" s="7">
        <v>63.48</v>
      </c>
      <c r="E9" s="7"/>
      <c r="F9" s="90" t="s">
        <v>80</v>
      </c>
      <c r="G9" s="90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04" t="s">
        <v>84</v>
      </c>
    </row>
    <row r="12" spans="1:7" ht="13.5" customHeight="1">
      <c r="A12" s="8" t="s">
        <v>8</v>
      </c>
      <c r="B12" s="8"/>
      <c r="C12" s="9"/>
      <c r="D12" s="10"/>
      <c r="E12" s="10"/>
      <c r="F12" s="11" t="s">
        <v>9</v>
      </c>
      <c r="G12" s="12">
        <v>9695840</v>
      </c>
    </row>
    <row r="13" spans="1:7" ht="13.5" customHeight="1">
      <c r="A13" s="27" t="s">
        <v>10</v>
      </c>
      <c r="B13" s="27" t="s">
        <v>11</v>
      </c>
      <c r="C13" s="41"/>
      <c r="F13" s="42"/>
      <c r="G13" s="43">
        <f>ROUND(IF(ISERROR(FIND("PARKING",Model,1)),IF(SellingPrice&gt;3199200,(G12-(G12/1.12)),0),(G12-(G12/1.12))),2)</f>
        <v>1038840</v>
      </c>
    </row>
    <row r="14" spans="1:10" ht="13.5" customHeight="1">
      <c r="A14" s="44">
        <v>5</v>
      </c>
      <c r="B14" s="27" t="str">
        <f>CONCATENATE(A14,"% Discount on ",A41,"% SFDP")</f>
        <v>5% Discount on 10% SFDP</v>
      </c>
      <c r="F14" s="42"/>
      <c r="G14" s="45">
        <f>((G12-G13)-Discount2Value)*(PercentageDiscount/100)*(SpotDownpayment/100)</f>
        <v>38956.5</v>
      </c>
      <c r="I14" s="45"/>
      <c r="J14" s="45"/>
    </row>
    <row r="15" spans="2:10" ht="13.5" customHeight="1" hidden="1">
      <c r="B15" s="27" t="s">
        <v>12</v>
      </c>
      <c r="G15" s="45">
        <v>0</v>
      </c>
      <c r="I15" s="45"/>
      <c r="J15" s="45"/>
    </row>
    <row r="16" spans="2:10" ht="13.5" customHeight="1" hidden="1">
      <c r="B16" s="27" t="s">
        <v>13</v>
      </c>
      <c r="G16" s="45">
        <v>0</v>
      </c>
      <c r="I16" s="45"/>
      <c r="J16" s="45"/>
    </row>
    <row r="17" spans="2:9" ht="13.5" customHeight="1" hidden="1">
      <c r="B17" s="27" t="s">
        <v>14</v>
      </c>
      <c r="G17" s="45">
        <v>0</v>
      </c>
      <c r="I17" s="45"/>
    </row>
    <row r="18" spans="2:9" ht="13.5" customHeight="1" hidden="1">
      <c r="B18" s="27" t="s">
        <v>15</v>
      </c>
      <c r="G18" s="45">
        <v>0</v>
      </c>
      <c r="I18" s="45"/>
    </row>
    <row r="19" spans="2:9" ht="13.5" customHeight="1" hidden="1">
      <c r="B19" s="27" t="s">
        <v>16</v>
      </c>
      <c r="G19" s="45">
        <v>0</v>
      </c>
      <c r="I19" s="45"/>
    </row>
    <row r="20" spans="2:10" ht="13.5" customHeight="1" hidden="1">
      <c r="B20" s="27" t="s">
        <v>17</v>
      </c>
      <c r="G20" s="45">
        <v>0</v>
      </c>
      <c r="H20" s="45"/>
      <c r="I20" s="45"/>
      <c r="J20" s="45"/>
    </row>
    <row r="21" spans="2:10" ht="13.5" customHeight="1" hidden="1">
      <c r="B21" s="27" t="s">
        <v>18</v>
      </c>
      <c r="G21" s="45">
        <v>0</v>
      </c>
      <c r="J21" s="45"/>
    </row>
    <row r="22" spans="2:10" ht="13.5" customHeight="1" hidden="1">
      <c r="B22" s="27" t="s">
        <v>19</v>
      </c>
      <c r="G22" s="45">
        <v>0</v>
      </c>
      <c r="J22" s="45"/>
    </row>
    <row r="23" spans="2:10" ht="13.5" customHeight="1" hidden="1">
      <c r="B23" s="27" t="s">
        <v>20</v>
      </c>
      <c r="G23" s="45">
        <v>0</v>
      </c>
      <c r="J23" s="45"/>
    </row>
    <row r="24" spans="2:10" ht="13.5" customHeight="1">
      <c r="B24" s="27" t="s">
        <v>21</v>
      </c>
      <c r="G24" s="45">
        <f>(SellingPrice-G13)*10%</f>
        <v>865700</v>
      </c>
      <c r="J24" s="45"/>
    </row>
    <row r="25" spans="6:10" ht="13.5" customHeight="1" thickBot="1">
      <c r="F25" s="42"/>
      <c r="G25" s="46"/>
      <c r="J25" s="45"/>
    </row>
    <row r="26" spans="1:7" ht="13.5" customHeight="1" thickTop="1">
      <c r="A26" s="38" t="s">
        <v>41</v>
      </c>
      <c r="B26" s="47"/>
      <c r="C26" s="39"/>
      <c r="D26" s="39"/>
      <c r="E26" s="39"/>
      <c r="F26" s="40" t="s">
        <v>9</v>
      </c>
      <c r="G26" s="48">
        <f>(SellingPrice-G13)-SUM(G14:G24)</f>
        <v>7752343.5</v>
      </c>
    </row>
    <row r="27" spans="1:9" ht="13.5" customHeight="1">
      <c r="A27" s="27" t="s">
        <v>23</v>
      </c>
      <c r="B27" s="27" t="s">
        <v>11</v>
      </c>
      <c r="G27" s="45">
        <f>ROUND(IF(ISERROR(FIND("PARKING",Model,1)),IF(G26&gt;3199200,G26*12%,0),G26*12%),2)</f>
        <v>930281.22</v>
      </c>
      <c r="I27" s="45"/>
    </row>
    <row r="28" spans="1:7" ht="13.5" customHeight="1" hidden="1">
      <c r="A28" s="44">
        <v>7</v>
      </c>
      <c r="B28" s="27" t="s">
        <v>24</v>
      </c>
      <c r="G28" s="45">
        <f>ROUND(G26*(A28/100),2)</f>
        <v>542664.05</v>
      </c>
    </row>
    <row r="29" spans="1:7" ht="13.5" customHeight="1" hidden="1">
      <c r="A29" s="44"/>
      <c r="B29" s="27" t="s">
        <v>25</v>
      </c>
      <c r="F29" s="44">
        <f>IF(G29&gt;50000,50000,G29)</f>
        <v>0</v>
      </c>
      <c r="G29" s="45">
        <v>0</v>
      </c>
    </row>
    <row r="30" spans="1:7" ht="13.5" customHeight="1" hidden="1">
      <c r="A30" s="44"/>
      <c r="B30" s="27" t="s">
        <v>26</v>
      </c>
      <c r="G30" s="45">
        <v>0</v>
      </c>
    </row>
    <row r="31" spans="1:7" ht="13.5" customHeight="1" thickBot="1">
      <c r="A31" s="44"/>
      <c r="B31" s="27" t="s">
        <v>24</v>
      </c>
      <c r="G31" s="45">
        <f>ROUND(SUM(G28,G30,F29),2)+210000</f>
        <v>752664.05</v>
      </c>
    </row>
    <row r="32" spans="1:7" ht="13.5" customHeight="1" thickTop="1">
      <c r="A32" s="38" t="s">
        <v>27</v>
      </c>
      <c r="B32" s="39"/>
      <c r="C32" s="39"/>
      <c r="D32" s="39"/>
      <c r="E32" s="39"/>
      <c r="F32" s="40" t="s">
        <v>9</v>
      </c>
      <c r="G32" s="48">
        <f>G26+SUM(G27,G31)</f>
        <v>9435288.77</v>
      </c>
    </row>
    <row r="33" ht="13.5" customHeight="1"/>
    <row r="34" ht="13.5" customHeight="1">
      <c r="A34" s="49" t="s">
        <v>42</v>
      </c>
    </row>
    <row r="35" spans="1:7" ht="13.5" customHeight="1">
      <c r="A35" s="50">
        <v>20</v>
      </c>
      <c r="B35" s="27" t="str">
        <f>CONCATENATE("Downpayment ("&amp;A35&amp;"% of Selling Price)")</f>
        <v>Downpayment (20% of Selling Price)</v>
      </c>
      <c r="G35" s="45">
        <f>ROUND((G26+G27)*(A35/100),2)</f>
        <v>1736524.94</v>
      </c>
    </row>
    <row r="36" spans="1:7" ht="13.5" customHeight="1" thickBot="1">
      <c r="A36" s="49"/>
      <c r="B36" s="27" t="s">
        <v>43</v>
      </c>
      <c r="G36" s="45">
        <f>ROUND(G31*(A35/100),2)</f>
        <v>150532.81</v>
      </c>
    </row>
    <row r="37" spans="1:7" ht="13.5" customHeight="1" thickTop="1">
      <c r="A37" s="38" t="s">
        <v>44</v>
      </c>
      <c r="B37" s="39"/>
      <c r="C37" s="39"/>
      <c r="D37" s="39"/>
      <c r="E37" s="39"/>
      <c r="F37" s="40" t="s">
        <v>9</v>
      </c>
      <c r="G37" s="48">
        <f>SUM(G35:G36)</f>
        <v>1887057.75</v>
      </c>
    </row>
    <row r="38" spans="1:7" ht="13.5" customHeight="1" thickBot="1">
      <c r="A38" s="27" t="s">
        <v>10</v>
      </c>
      <c r="B38" s="27" t="s">
        <v>28</v>
      </c>
      <c r="F38" s="51">
        <f ca="1">NOW()</f>
        <v>44048.817865509256</v>
      </c>
      <c r="G38" s="45">
        <v>20000</v>
      </c>
    </row>
    <row r="39" spans="1:7" ht="13.5" customHeight="1" thickTop="1">
      <c r="A39" s="38" t="s">
        <v>45</v>
      </c>
      <c r="B39" s="39"/>
      <c r="C39" s="39"/>
      <c r="D39" s="39"/>
      <c r="E39" s="52"/>
      <c r="F39" s="40" t="s">
        <v>9</v>
      </c>
      <c r="G39" s="48">
        <f>G37-G38</f>
        <v>1867057.75</v>
      </c>
    </row>
    <row r="40" ht="13.5" customHeight="1"/>
    <row r="41" spans="1:10" ht="13.5" customHeight="1">
      <c r="A41" s="44">
        <v>10</v>
      </c>
      <c r="B41" s="27" t="str">
        <f>CONCATENATE("Spot Downpayment ("&amp;A41&amp;"% of Selling Price)")</f>
        <v>Spot Downpayment (10% of Selling Price)</v>
      </c>
      <c r="E41" s="53"/>
      <c r="F41" s="51"/>
      <c r="G41" s="45">
        <f>ROUND((SUM(G26:G27)*(A41/100))-G38,2)</f>
        <v>848262.47</v>
      </c>
      <c r="H41" s="45"/>
      <c r="I41" s="45"/>
      <c r="J41" s="54"/>
    </row>
    <row r="42" spans="2:10" ht="13.5" customHeight="1" thickBot="1">
      <c r="B42" s="27" t="s">
        <v>24</v>
      </c>
      <c r="E42" s="53"/>
      <c r="F42" s="51"/>
      <c r="G42" s="45">
        <f>ROUND(G31*(A41/100),2)</f>
        <v>75266.41</v>
      </c>
      <c r="J42" s="45"/>
    </row>
    <row r="43" spans="2:7" ht="13.5" customHeight="1" thickTop="1">
      <c r="B43" s="55" t="s">
        <v>46</v>
      </c>
      <c r="E43" s="53"/>
      <c r="F43" s="51">
        <f>ReservationDate+19</f>
        <v>44067.817865509256</v>
      </c>
      <c r="G43" s="56">
        <f>SUM(G41:G42)</f>
        <v>923528.88</v>
      </c>
    </row>
    <row r="44" spans="2:7" ht="13.5" customHeight="1">
      <c r="B44" s="57"/>
      <c r="E44" s="53"/>
      <c r="F44" s="51"/>
      <c r="G44" s="58"/>
    </row>
    <row r="45" spans="1:7" ht="13.5" customHeight="1">
      <c r="A45" s="44">
        <f>A35-A41</f>
        <v>10</v>
      </c>
      <c r="B45" s="59" t="str">
        <f>CONCATENATE("Streched Downpayment ("&amp;A45&amp;"% of Selling Price)")</f>
        <v>Streched Downpayment (10% of Selling Price)</v>
      </c>
      <c r="E45" s="53"/>
      <c r="F45" s="51"/>
      <c r="G45" s="45">
        <f>G35-G41-ReservationFee</f>
        <v>868262.47</v>
      </c>
    </row>
    <row r="46" spans="2:7" ht="13.5" customHeight="1" thickBot="1">
      <c r="B46" s="59" t="s">
        <v>24</v>
      </c>
      <c r="E46" s="53"/>
      <c r="F46" s="51"/>
      <c r="G46" s="45">
        <f>SUM(G36:G36)-G42</f>
        <v>75266.4</v>
      </c>
    </row>
    <row r="47" spans="2:7" ht="13.5" customHeight="1" thickTop="1">
      <c r="B47" s="55" t="str">
        <f>CONCATENATE("Total Streched DP and Other Charges payable in "&amp;A49&amp;" months")</f>
        <v>Total Streched DP and Other Charges payable in 24 months</v>
      </c>
      <c r="E47" s="53"/>
      <c r="F47" s="51"/>
      <c r="G47" s="56">
        <f>SUM(G45:G46)</f>
        <v>943528.87</v>
      </c>
    </row>
    <row r="48" spans="2:7" ht="13.5" customHeight="1">
      <c r="B48" s="59"/>
      <c r="E48" s="53"/>
      <c r="F48" s="51"/>
      <c r="G48" s="58"/>
    </row>
    <row r="49" spans="1:7" ht="27.75" customHeight="1">
      <c r="A49" s="60">
        <v>24</v>
      </c>
      <c r="B49" s="100" t="s">
        <v>47</v>
      </c>
      <c r="C49" s="100"/>
      <c r="D49" s="61" t="s">
        <v>48</v>
      </c>
      <c r="E49" s="62" t="s">
        <v>49</v>
      </c>
      <c r="F49" s="63" t="s">
        <v>24</v>
      </c>
      <c r="G49" s="64" t="s">
        <v>50</v>
      </c>
    </row>
    <row r="50" spans="1:7" ht="13.5" customHeight="1">
      <c r="A50" s="97" t="s">
        <v>51</v>
      </c>
      <c r="B50" s="97"/>
      <c r="C50" s="97"/>
      <c r="D50" s="66">
        <f>IF(AND(DAY(F43)&gt;2,DAY(F43)&lt;19),DATE(YEAR(F43+30),MONTH(F43+30),DAY(17)),DATE(YEAR(F43+30),IF(DAY(F43)&gt;18,MONTH(F43+30)+1,MONTH(F43+30)),DAY(2)))</f>
        <v>44106</v>
      </c>
      <c r="E50" s="43">
        <f>ROUND(G45/A49,2)</f>
        <v>36177.6</v>
      </c>
      <c r="F50" s="67">
        <f>ROUND(G46/A49,2)</f>
        <v>3136.1</v>
      </c>
      <c r="G50" s="45">
        <f>SUM(E50:F50)</f>
        <v>39313.7</v>
      </c>
    </row>
    <row r="51" spans="1:7" ht="13.5" customHeight="1">
      <c r="A51" s="97" t="s">
        <v>52</v>
      </c>
      <c r="B51" s="97"/>
      <c r="C51" s="97"/>
      <c r="D51" s="66">
        <f>IF($A$49&lt;VALUE(LEFT(A51,1))," ",DATE(YEAR(D50+30),MONTH(D50+30),DAY(D50)))</f>
        <v>44137</v>
      </c>
      <c r="E51" s="43">
        <f>IF($A$49&lt;VALUE(LEFT(A51,1))," ",IF($A$49=VALUE(LEFT(A51,1)),$G$45-($E$50*($A$49-1)),E50))</f>
        <v>36177.6</v>
      </c>
      <c r="F51" s="67">
        <f>IF($A$49&lt;VALUE(LEFT(A51,1))," ",IF($A$49=VALUE(LEFT(A51,1)),$G$46-($F$50*($A$49-1)),F50))</f>
        <v>3136.1</v>
      </c>
      <c r="G51" s="45">
        <f>IF($A$49&lt;VALUE(LEFT(A51,1))," ",SUM(E51:F51))</f>
        <v>39313.7</v>
      </c>
    </row>
    <row r="52" spans="1:7" ht="13.5" customHeight="1">
      <c r="A52" s="97" t="s">
        <v>53</v>
      </c>
      <c r="B52" s="97"/>
      <c r="C52" s="97"/>
      <c r="D52" s="66">
        <f>IF($A$49&lt;VALUE(LEFT(A52,1))," ",DATE(YEAR(D51+30),MONTH(D51+30),DAY(D51)))</f>
        <v>44167</v>
      </c>
      <c r="E52" s="43">
        <f>IF($A$49&lt;VALUE(LEFT(A52,1))," ",IF($A$49=VALUE(LEFT(A52,1)),$G$45-($E$50*($A$49-1)),E51))</f>
        <v>36177.6</v>
      </c>
      <c r="F52" s="67">
        <f>IF($A$49&lt;VALUE(LEFT(A52,1))," ",IF($A$49=VALUE(LEFT(A52,1)),$G$46-($F$50*($A$49-1)),F51))</f>
        <v>3136.1</v>
      </c>
      <c r="G52" s="45">
        <f>IF($A$49&lt;VALUE(LEFT(A52,1))," ",SUM(E52:F52))</f>
        <v>39313.7</v>
      </c>
    </row>
    <row r="53" spans="1:7" ht="13.5" customHeight="1">
      <c r="A53" s="97" t="s">
        <v>54</v>
      </c>
      <c r="B53" s="97"/>
      <c r="C53" s="97"/>
      <c r="D53" s="66">
        <f>IF($A$49&lt;VALUE(LEFT(A53,1))," ",DATE(YEAR(D52+30),MONTH(D52+30),DAY(D52)))</f>
        <v>44198</v>
      </c>
      <c r="E53" s="43">
        <f>IF($A$49&lt;VALUE(LEFT(A53,1))," ",IF($A$49=VALUE(LEFT(A53,1)),$G$45-($E$50*($A$49-1)),E52))</f>
        <v>36177.6</v>
      </c>
      <c r="F53" s="67">
        <f>IF($A$49&lt;VALUE(LEFT(A53,1))," ",IF($A$49=VALUE(LEFT(A53,1)),$G$46-($F$50*($A$49-1)),F52))</f>
        <v>3136.1</v>
      </c>
      <c r="G53" s="45">
        <f>IF($A$49&lt;VALUE(LEFT(A53,1))," ",SUM(E53:F53))</f>
        <v>39313.7</v>
      </c>
    </row>
    <row r="54" spans="1:7" ht="13.5" customHeight="1">
      <c r="A54" s="97" t="s">
        <v>55</v>
      </c>
      <c r="B54" s="97"/>
      <c r="C54" s="97"/>
      <c r="D54" s="66">
        <f>IF($A$49&lt;VALUE(LEFT(A54,1))," ",DATE(YEAR(D53+30),MONTH(D53+30),DAY(D53)))</f>
        <v>44229</v>
      </c>
      <c r="E54" s="43">
        <f>IF($A$49&lt;VALUE(LEFT(A54,1))," ",IF($A$49=VALUE(LEFT(A54,1)),$G$45-($E$50*($A$49-1)),E53))</f>
        <v>36177.6</v>
      </c>
      <c r="F54" s="67">
        <f>IF($A$49&lt;VALUE(LEFT(A54,1))," ",IF($A$49=VALUE(LEFT(A54,1)),$G$46-($F$50*($A$49-1)),F53))</f>
        <v>3136.1</v>
      </c>
      <c r="G54" s="45">
        <f>IF($A$49&lt;VALUE(LEFT(A54,1))," ",SUM(E54:F54))</f>
        <v>39313.7</v>
      </c>
    </row>
    <row r="55" spans="1:7" ht="13.5" customHeight="1">
      <c r="A55" s="97" t="s">
        <v>56</v>
      </c>
      <c r="B55" s="97"/>
      <c r="C55" s="97"/>
      <c r="D55" s="66">
        <f>IF($A$49&lt;VALUE(LEFT(A55,1))," ",DATE(YEAR(D54+30),MONTH(D54+30),DAY(D54)))</f>
        <v>44257</v>
      </c>
      <c r="E55" s="43">
        <f>IF($A$49&lt;VALUE(LEFT(A55,1))," ",IF($A$49=VALUE(LEFT(A55,1)),$G$45-($E$50*($A$49-1)),E54))</f>
        <v>36177.6</v>
      </c>
      <c r="F55" s="67">
        <f>IF($A$49&lt;VALUE(LEFT(A55,1))," ",IF($A$49=VALUE(LEFT(A55,1)),$G$46-($F$50*($A$49-1)),F54))</f>
        <v>3136.1</v>
      </c>
      <c r="G55" s="45">
        <f>IF($A$49&lt;VALUE(LEFT(A55,1))," ",SUM(E55:F55))</f>
        <v>39313.7</v>
      </c>
    </row>
    <row r="56" spans="1:7" ht="13.5" customHeight="1">
      <c r="A56" s="97" t="s">
        <v>62</v>
      </c>
      <c r="B56" s="97"/>
      <c r="C56" s="97"/>
      <c r="D56" s="66">
        <f aca="true" t="shared" si="0" ref="D56:D61">IF($A$49&lt;VALUE(LEFT(A56,1))," ",DATE(YEAR(D55+30),MONTH(D55+30),DAY(D55)))</f>
        <v>44288</v>
      </c>
      <c r="E56" s="43">
        <f aca="true" t="shared" si="1" ref="E56:E61">IF($A$49&lt;VALUE(LEFT(A56,1))," ",IF($A$49=VALUE(LEFT(A56,1)),$G$45-($E$50*($A$49-1)),E55))</f>
        <v>36177.6</v>
      </c>
      <c r="F56" s="67">
        <f aca="true" t="shared" si="2" ref="F56:F61">IF($A$49&lt;VALUE(LEFT(A56,1))," ",IF($A$49=VALUE(LEFT(A56,1)),$G$46-($F$50*($A$49-1)),F55))</f>
        <v>3136.1</v>
      </c>
      <c r="G56" s="45">
        <f aca="true" t="shared" si="3" ref="G56:G61">IF($A$49&lt;VALUE(LEFT(A56,1))," ",SUM(E56:F56))</f>
        <v>39313.7</v>
      </c>
    </row>
    <row r="57" spans="1:7" ht="13.5" customHeight="1">
      <c r="A57" s="97" t="s">
        <v>63</v>
      </c>
      <c r="B57" s="97"/>
      <c r="C57" s="97"/>
      <c r="D57" s="66">
        <f t="shared" si="0"/>
        <v>44318</v>
      </c>
      <c r="E57" s="43">
        <f t="shared" si="1"/>
        <v>36177.6</v>
      </c>
      <c r="F57" s="67">
        <f t="shared" si="2"/>
        <v>3136.1</v>
      </c>
      <c r="G57" s="45">
        <f t="shared" si="3"/>
        <v>39313.7</v>
      </c>
    </row>
    <row r="58" spans="1:7" ht="13.5" customHeight="1">
      <c r="A58" s="97" t="s">
        <v>64</v>
      </c>
      <c r="B58" s="97"/>
      <c r="C58" s="97"/>
      <c r="D58" s="66">
        <f t="shared" si="0"/>
        <v>44349</v>
      </c>
      <c r="E58" s="43">
        <f t="shared" si="1"/>
        <v>36177.6</v>
      </c>
      <c r="F58" s="67">
        <f t="shared" si="2"/>
        <v>3136.1</v>
      </c>
      <c r="G58" s="45">
        <f t="shared" si="3"/>
        <v>39313.7</v>
      </c>
    </row>
    <row r="59" spans="1:7" ht="13.5" customHeight="1">
      <c r="A59" s="97" t="s">
        <v>65</v>
      </c>
      <c r="B59" s="97"/>
      <c r="C59" s="97"/>
      <c r="D59" s="66">
        <f t="shared" si="0"/>
        <v>44379</v>
      </c>
      <c r="E59" s="43">
        <f t="shared" si="1"/>
        <v>36177.6</v>
      </c>
      <c r="F59" s="67">
        <f t="shared" si="2"/>
        <v>3136.1</v>
      </c>
      <c r="G59" s="45">
        <f t="shared" si="3"/>
        <v>39313.7</v>
      </c>
    </row>
    <row r="60" spans="1:7" ht="13.5" customHeight="1">
      <c r="A60" s="97" t="s">
        <v>66</v>
      </c>
      <c r="B60" s="97"/>
      <c r="C60" s="97"/>
      <c r="D60" s="66">
        <f t="shared" si="0"/>
        <v>44410</v>
      </c>
      <c r="E60" s="43">
        <f t="shared" si="1"/>
        <v>36177.6</v>
      </c>
      <c r="F60" s="67">
        <f t="shared" si="2"/>
        <v>3136.1</v>
      </c>
      <c r="G60" s="45">
        <f t="shared" si="3"/>
        <v>39313.7</v>
      </c>
    </row>
    <row r="61" spans="1:7" ht="13.5" customHeight="1">
      <c r="A61" s="97" t="s">
        <v>67</v>
      </c>
      <c r="B61" s="97"/>
      <c r="C61" s="97"/>
      <c r="D61" s="66">
        <f t="shared" si="0"/>
        <v>44441</v>
      </c>
      <c r="E61" s="43">
        <f t="shared" si="1"/>
        <v>36177.6</v>
      </c>
      <c r="F61" s="67">
        <f t="shared" si="2"/>
        <v>3136.1</v>
      </c>
      <c r="G61" s="45">
        <f t="shared" si="3"/>
        <v>39313.7</v>
      </c>
    </row>
    <row r="62" spans="1:7" ht="13.5" customHeight="1">
      <c r="A62" s="97" t="s">
        <v>68</v>
      </c>
      <c r="B62" s="97"/>
      <c r="C62" s="97"/>
      <c r="D62" s="66">
        <f aca="true" t="shared" si="4" ref="D62:D67">IF($A$49&lt;VALUE(LEFT(A62,1))," ",DATE(YEAR(D61+30),MONTH(D61+30),DAY(D61)))</f>
        <v>44471</v>
      </c>
      <c r="E62" s="43">
        <f aca="true" t="shared" si="5" ref="E62:E67">IF($A$49&lt;VALUE(LEFT(A62,1))," ",IF($A$49=VALUE(LEFT(A62,1)),$G$45-($E$50*($A$49-1)),E61))</f>
        <v>36177.6</v>
      </c>
      <c r="F62" s="67">
        <f aca="true" t="shared" si="6" ref="F62:F67">IF($A$49&lt;VALUE(LEFT(A62,1))," ",IF($A$49=VALUE(LEFT(A62,1)),$G$46-($F$50*($A$49-1)),F61))</f>
        <v>3136.1</v>
      </c>
      <c r="G62" s="45">
        <f aca="true" t="shared" si="7" ref="G62:G67">IF($A$49&lt;VALUE(LEFT(A62,1))," ",SUM(E62:F62))</f>
        <v>39313.7</v>
      </c>
    </row>
    <row r="63" spans="1:7" ht="13.5" customHeight="1">
      <c r="A63" s="97" t="s">
        <v>69</v>
      </c>
      <c r="B63" s="97"/>
      <c r="C63" s="97"/>
      <c r="D63" s="66">
        <f t="shared" si="4"/>
        <v>44502</v>
      </c>
      <c r="E63" s="43">
        <f t="shared" si="5"/>
        <v>36177.6</v>
      </c>
      <c r="F63" s="67">
        <f t="shared" si="6"/>
        <v>3136.1</v>
      </c>
      <c r="G63" s="45">
        <f t="shared" si="7"/>
        <v>39313.7</v>
      </c>
    </row>
    <row r="64" spans="1:7" ht="13.5" customHeight="1">
      <c r="A64" s="97" t="s">
        <v>70</v>
      </c>
      <c r="B64" s="97"/>
      <c r="C64" s="97"/>
      <c r="D64" s="66">
        <f t="shared" si="4"/>
        <v>44532</v>
      </c>
      <c r="E64" s="43">
        <f t="shared" si="5"/>
        <v>36177.6</v>
      </c>
      <c r="F64" s="67">
        <f t="shared" si="6"/>
        <v>3136.1</v>
      </c>
      <c r="G64" s="45">
        <f t="shared" si="7"/>
        <v>39313.7</v>
      </c>
    </row>
    <row r="65" spans="1:7" ht="13.5" customHeight="1">
      <c r="A65" s="97" t="s">
        <v>71</v>
      </c>
      <c r="B65" s="97"/>
      <c r="C65" s="97"/>
      <c r="D65" s="66">
        <f t="shared" si="4"/>
        <v>44563</v>
      </c>
      <c r="E65" s="43">
        <f t="shared" si="5"/>
        <v>36177.6</v>
      </c>
      <c r="F65" s="67">
        <f t="shared" si="6"/>
        <v>3136.1</v>
      </c>
      <c r="G65" s="45">
        <f t="shared" si="7"/>
        <v>39313.7</v>
      </c>
    </row>
    <row r="66" spans="1:7" ht="13.5" customHeight="1">
      <c r="A66" s="97" t="s">
        <v>72</v>
      </c>
      <c r="B66" s="97"/>
      <c r="C66" s="97"/>
      <c r="D66" s="66">
        <f t="shared" si="4"/>
        <v>44594</v>
      </c>
      <c r="E66" s="43">
        <f t="shared" si="5"/>
        <v>36177.6</v>
      </c>
      <c r="F66" s="67">
        <f t="shared" si="6"/>
        <v>3136.1</v>
      </c>
      <c r="G66" s="45">
        <f t="shared" si="7"/>
        <v>39313.7</v>
      </c>
    </row>
    <row r="67" spans="1:7" ht="13.5" customHeight="1">
      <c r="A67" s="97" t="s">
        <v>73</v>
      </c>
      <c r="B67" s="97"/>
      <c r="C67" s="97"/>
      <c r="D67" s="66">
        <f t="shared" si="4"/>
        <v>44622</v>
      </c>
      <c r="E67" s="43">
        <f t="shared" si="5"/>
        <v>36177.6</v>
      </c>
      <c r="F67" s="67">
        <f t="shared" si="6"/>
        <v>3136.1</v>
      </c>
      <c r="G67" s="45">
        <f t="shared" si="7"/>
        <v>39313.7</v>
      </c>
    </row>
    <row r="68" spans="1:7" ht="13.5" customHeight="1">
      <c r="A68" s="97" t="s">
        <v>74</v>
      </c>
      <c r="B68" s="97"/>
      <c r="C68" s="97"/>
      <c r="D68" s="66">
        <f>IF($A$49&lt;VALUE(LEFT(A68,1))," ",DATE(YEAR(D67+30),MONTH(D67+30),DAY(D67)))</f>
        <v>44653</v>
      </c>
      <c r="E68" s="43">
        <f>IF($A$49&lt;VALUE(LEFT(A68,1))," ",IF($A$49=VALUE(LEFT(A68,1)),$G$45-($E$50*($A$49-1)),E67))</f>
        <v>36177.6</v>
      </c>
      <c r="F68" s="67">
        <f>IF($A$49&lt;VALUE(LEFT(A68,1))," ",IF($A$49=VALUE(LEFT(A68,1)),$G$46-($F$50*($A$49-1)),F67))</f>
        <v>3136.1</v>
      </c>
      <c r="G68" s="45">
        <f>IF($A$49&lt;VALUE(LEFT(A68,1))," ",SUM(E68:F68))</f>
        <v>39313.7</v>
      </c>
    </row>
    <row r="69" spans="1:7" ht="13.5" customHeight="1">
      <c r="A69" s="97" t="s">
        <v>75</v>
      </c>
      <c r="B69" s="97"/>
      <c r="C69" s="97"/>
      <c r="D69" s="66">
        <f>IF($A$49&lt;VALUE(LEFT(A69,1))," ",DATE(YEAR(D68+30),MONTH(D68+30),DAY(D68)))</f>
        <v>44683</v>
      </c>
      <c r="E69" s="43">
        <f>IF($A$49&lt;VALUE(LEFT(A69,1))," ",IF($A$49=VALUE(LEFT(A69,1)),$G$45-($E$50*($A$49-1)),E68))</f>
        <v>36177.6</v>
      </c>
      <c r="F69" s="67">
        <f>IF($A$49&lt;VALUE(LEFT(A69,1))," ",IF($A$49=VALUE(LEFT(A69,1)),$G$46-($F$50*($A$49-1)),F68))</f>
        <v>3136.1</v>
      </c>
      <c r="G69" s="45">
        <f>IF($A$49&lt;VALUE(LEFT(A69,1))," ",SUM(E69:F69))</f>
        <v>39313.7</v>
      </c>
    </row>
    <row r="70" spans="1:7" ht="13.5" customHeight="1">
      <c r="A70" s="97" t="s">
        <v>76</v>
      </c>
      <c r="B70" s="97"/>
      <c r="C70" s="97"/>
      <c r="D70" s="66">
        <f>IF($A$49&lt;VALUE(LEFT(A70,1))," ",DATE(YEAR(D69+30),MONTH(D69+30),DAY(D69)))</f>
        <v>44714</v>
      </c>
      <c r="E70" s="43">
        <f>IF($A$49&lt;VALUE(LEFT(A70,1))," ",IF($A$49=VALUE(LEFT(A70,1)),$G$45-($E$50*($A$49-1)),E69))</f>
        <v>36177.6</v>
      </c>
      <c r="F70" s="67">
        <f>IF($A$49&lt;VALUE(LEFT(A70,1))," ",IF($A$49=VALUE(LEFT(A70,1)),$G$46-($F$50*($A$49-1)),F69))</f>
        <v>3136.1</v>
      </c>
      <c r="G70" s="45">
        <f>IF($A$49&lt;VALUE(LEFT(A70,1))," ",SUM(E70:F70))</f>
        <v>39313.7</v>
      </c>
    </row>
    <row r="71" spans="1:7" ht="13.5" customHeight="1">
      <c r="A71" s="97" t="s">
        <v>81</v>
      </c>
      <c r="B71" s="97"/>
      <c r="C71" s="97"/>
      <c r="D71" s="66">
        <f>IF($A$49&lt;VALUE(LEFT(A71,1))," ",DATE(YEAR(D70+30),MONTH(D70+30),DAY(D70)))</f>
        <v>44744</v>
      </c>
      <c r="E71" s="43">
        <f>IF($A$49&lt;VALUE(LEFT(A71,1))," ",IF($A$49=VALUE(LEFT(A71,1)),$G$45-($E$50*($A$49-1)),E70))</f>
        <v>36177.6</v>
      </c>
      <c r="F71" s="67">
        <f>IF($A$49&lt;VALUE(LEFT(A71,1))," ",IF($A$49=VALUE(LEFT(A71,1)),$G$46-($F$50*($A$49-1)),F70))</f>
        <v>3136.1</v>
      </c>
      <c r="G71" s="45">
        <f>IF($A$49&lt;VALUE(LEFT(A71,1))," ",SUM(E71:F71))</f>
        <v>39313.7</v>
      </c>
    </row>
    <row r="72" spans="1:7" ht="13.5" customHeight="1">
      <c r="A72" s="97" t="s">
        <v>82</v>
      </c>
      <c r="B72" s="97"/>
      <c r="C72" s="97"/>
      <c r="D72" s="66">
        <f>IF($A$49&lt;VALUE(LEFT(A72,1))," ",DATE(YEAR(D71+30),MONTH(D71+30),DAY(D71)))</f>
        <v>44775</v>
      </c>
      <c r="E72" s="43">
        <f>IF($A$49&lt;VALUE(LEFT(A72,1))," ",IF($A$49=VALUE(LEFT(A72,1)),$G$45-($E$50*($A$49-1)),E71))</f>
        <v>36177.6</v>
      </c>
      <c r="F72" s="67">
        <f>IF($A$49&lt;VALUE(LEFT(A72,1))," ",IF($A$49=VALUE(LEFT(A72,1)),$G$46-($F$50*($A$49-1)),F71))</f>
        <v>3136.1</v>
      </c>
      <c r="G72" s="45">
        <f>IF($A$49&lt;VALUE(LEFT(A72,1))," ",SUM(E72:F72))</f>
        <v>39313.7</v>
      </c>
    </row>
    <row r="73" spans="1:7" ht="13.5" customHeight="1">
      <c r="A73" s="97" t="s">
        <v>83</v>
      </c>
      <c r="B73" s="97"/>
      <c r="C73" s="97"/>
      <c r="D73" s="66">
        <f>IF($A$49&lt;VALUE(LEFT(A73,1))," ",DATE(YEAR(D72+30),MONTH(D72+30),DAY(D72)))</f>
        <v>44806</v>
      </c>
      <c r="E73" s="43">
        <f>IF($A$49&lt;VALUE(LEFT(A73,1))," ",IF($A$49=VALUE(LEFT(A73,1)),$G$45-($E$50*($A$49-1)),E72))</f>
        <v>36177.6</v>
      </c>
      <c r="F73" s="67">
        <f>IF($A$49&lt;VALUE(LEFT(A73,1))," ",IF($A$49=VALUE(LEFT(A73,1)),$G$46-($F$50*($A$49-1)),F72))</f>
        <v>3136.1</v>
      </c>
      <c r="G73" s="45">
        <f>IF($A$49&lt;VALUE(LEFT(A73,1))," ",SUM(E73:F73))</f>
        <v>39313.7</v>
      </c>
    </row>
    <row r="74" spans="1:7" ht="13.5" customHeight="1">
      <c r="A74" s="65"/>
      <c r="B74" s="65"/>
      <c r="C74" s="65"/>
      <c r="D74" s="66"/>
      <c r="E74" s="43"/>
      <c r="F74" s="67"/>
      <c r="G74" s="45"/>
    </row>
    <row r="75" spans="2:7" ht="13.5" customHeight="1">
      <c r="B75" s="57"/>
      <c r="E75" s="53"/>
      <c r="F75" s="51"/>
      <c r="G75" s="58"/>
    </row>
    <row r="76" ht="13.5" customHeight="1">
      <c r="A76" s="49" t="s">
        <v>57</v>
      </c>
    </row>
    <row r="77" spans="2:6" ht="13.5" customHeight="1">
      <c r="B77" s="27" t="s">
        <v>58</v>
      </c>
      <c r="F77" s="68">
        <f>D68</f>
        <v>44653</v>
      </c>
    </row>
    <row r="78" spans="2:9" ht="13.5" customHeight="1">
      <c r="B78" s="27" t="s">
        <v>59</v>
      </c>
      <c r="F78" s="85">
        <f>DATE(YEAR(MAX(D50:D73)+30),MONTH(MAX(D62:D73)+30),DAY(D50))</f>
        <v>44836</v>
      </c>
      <c r="G78" s="69">
        <f>ROUND(((G26+G27)*((100-A35)/100))+(G31*(100-A35)/100),2)</f>
        <v>7548231.02</v>
      </c>
      <c r="I78" s="45"/>
    </row>
    <row r="79" ht="13.5" customHeight="1">
      <c r="B79" s="27" t="s">
        <v>60</v>
      </c>
    </row>
    <row r="80" ht="13.5" customHeight="1"/>
    <row r="81" spans="1:4" ht="13.5" customHeight="1">
      <c r="A81" s="55" t="s">
        <v>30</v>
      </c>
      <c r="B81" s="70"/>
      <c r="C81" s="70"/>
      <c r="D81" s="70"/>
    </row>
    <row r="82" spans="1:7" ht="13.5" customHeight="1">
      <c r="A82" s="101" t="s">
        <v>61</v>
      </c>
      <c r="B82" s="101"/>
      <c r="C82" s="101"/>
      <c r="D82" s="101"/>
      <c r="E82" s="101"/>
      <c r="F82" s="101"/>
      <c r="G82" s="101"/>
    </row>
    <row r="83" spans="1:4" ht="13.5" customHeight="1">
      <c r="A83" s="70" t="s">
        <v>32</v>
      </c>
      <c r="B83" s="70"/>
      <c r="C83" s="70"/>
      <c r="D83" s="70"/>
    </row>
    <row r="84" spans="1:4" ht="13.5" customHeight="1">
      <c r="A84" s="70" t="s">
        <v>33</v>
      </c>
      <c r="B84" s="70"/>
      <c r="C84" s="70"/>
      <c r="D84" s="70"/>
    </row>
    <row r="85" spans="1:4" ht="13.5" customHeight="1">
      <c r="A85" s="70" t="s">
        <v>34</v>
      </c>
      <c r="B85" s="70"/>
      <c r="C85" s="70"/>
      <c r="D85" s="70"/>
    </row>
    <row r="86" spans="1:4" ht="13.5" customHeight="1">
      <c r="A86" s="71" t="s">
        <v>35</v>
      </c>
      <c r="B86" s="70"/>
      <c r="C86" s="70"/>
      <c r="D86" s="70"/>
    </row>
    <row r="87" spans="1:4" ht="13.5" customHeight="1">
      <c r="A87" s="71" t="s">
        <v>36</v>
      </c>
      <c r="B87" s="70"/>
      <c r="C87" s="70"/>
      <c r="D87" s="70"/>
    </row>
    <row r="88" spans="1:4" ht="13.5" customHeight="1">
      <c r="A88" s="71" t="s">
        <v>37</v>
      </c>
      <c r="B88" s="70"/>
      <c r="C88" s="70"/>
      <c r="D88" s="70"/>
    </row>
    <row r="89" spans="1:4" ht="13.5" customHeight="1">
      <c r="A89" s="71" t="s">
        <v>38</v>
      </c>
      <c r="B89" s="70"/>
      <c r="C89" s="70"/>
      <c r="D89" s="70"/>
    </row>
    <row r="90" spans="1:4" ht="13.5" customHeight="1">
      <c r="A90" s="71" t="s">
        <v>39</v>
      </c>
      <c r="B90" s="70"/>
      <c r="C90" s="70"/>
      <c r="D90" s="70"/>
    </row>
    <row r="91" spans="1:7" ht="13.5" customHeight="1">
      <c r="A91" s="101" t="s">
        <v>40</v>
      </c>
      <c r="B91" s="101"/>
      <c r="C91" s="101"/>
      <c r="D91" s="101"/>
      <c r="E91" s="101"/>
      <c r="F91" s="101"/>
      <c r="G91" s="101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32"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68:C68"/>
    <mergeCell ref="A69:C69"/>
    <mergeCell ref="A82:G82"/>
    <mergeCell ref="A91:G91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B3:F3"/>
    <mergeCell ref="B4:F4"/>
    <mergeCell ref="A5:G5"/>
    <mergeCell ref="F8:G8"/>
    <mergeCell ref="F9:G9"/>
    <mergeCell ref="B49:C49"/>
  </mergeCells>
  <conditionalFormatting sqref="B13 B27">
    <cfRule type="expression" priority="1" dxfId="13" stopIfTrue="1">
      <formula>G13=0</formula>
    </cfRule>
  </conditionalFormatting>
  <conditionalFormatting sqref="A51:C74">
    <cfRule type="expression" priority="2" dxfId="13" stopIfTrue="1">
      <formula>VALUE(NoDPSchedule)&lt;VALUE(LEFT(A51,1))</formula>
    </cfRule>
  </conditionalFormatting>
  <conditionalFormatting sqref="G13 G27">
    <cfRule type="expression" priority="3" dxfId="13" stopIfTrue="1">
      <formula>G13=0</formula>
    </cfRule>
  </conditionalFormatting>
  <conditionalFormatting sqref="D6">
    <cfRule type="expression" priority="4" dxfId="14" stopIfTrue="1">
      <formula>G7&lt;=TODAY()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G31" sqref="G31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0.50390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10" ht="12.75" customHeight="1">
      <c r="A1" s="118" t="s">
        <v>86</v>
      </c>
      <c r="B1" s="117"/>
      <c r="C1" s="117"/>
      <c r="D1" s="117"/>
      <c r="E1" s="117"/>
      <c r="F1" s="117"/>
      <c r="G1" s="114"/>
      <c r="H1" s="114"/>
      <c r="I1" s="114"/>
      <c r="J1" s="114"/>
    </row>
    <row r="2" spans="1:10" ht="12.75" customHeight="1" thickBot="1">
      <c r="A2" s="115" t="s">
        <v>78</v>
      </c>
      <c r="B2" s="116"/>
      <c r="C2" s="116"/>
      <c r="D2" s="116"/>
      <c r="E2" s="116"/>
      <c r="F2" s="116"/>
      <c r="G2" s="113"/>
      <c r="H2" s="113"/>
      <c r="I2" s="113"/>
      <c r="J2" s="113"/>
    </row>
    <row r="3" spans="1:7" ht="14.25" customHeight="1" thickTop="1">
      <c r="A3" s="2"/>
      <c r="B3" s="89" t="s">
        <v>1</v>
      </c>
      <c r="C3" s="89"/>
      <c r="D3" s="89"/>
      <c r="E3" s="89"/>
      <c r="F3" s="89"/>
      <c r="G3" s="3"/>
    </row>
    <row r="4" spans="1:7" ht="14.25" customHeight="1">
      <c r="A4" s="4"/>
      <c r="B4" s="91" t="s">
        <v>2</v>
      </c>
      <c r="C4" s="91"/>
      <c r="D4" s="91"/>
      <c r="E4" s="91"/>
      <c r="F4" s="91"/>
      <c r="G4" s="5"/>
    </row>
    <row r="5" spans="1:7" ht="30" customHeight="1">
      <c r="A5" s="92" t="s">
        <v>79</v>
      </c>
      <c r="B5" s="93"/>
      <c r="C5" s="93"/>
      <c r="D5" s="93"/>
      <c r="E5" s="93"/>
      <c r="F5" s="93"/>
      <c r="G5" s="94"/>
    </row>
    <row r="6" spans="1:7" ht="13.5" customHeight="1" thickBot="1">
      <c r="A6" s="32" t="str">
        <f>IF(A49&lt;=12,12,A49)</f>
        <v>8th Downpayment due on</v>
      </c>
      <c r="B6" s="33"/>
      <c r="C6" s="33"/>
      <c r="D6" s="34" t="str">
        <f>IF(A49&gt;G7,"TERM IS SUBJECT FOR APPROVAL","SAMPLE COMPUTATION ONLY")</f>
        <v>TERM IS SUBJECT FOR APPROVAL</v>
      </c>
      <c r="E6" s="33"/>
      <c r="F6" s="33"/>
      <c r="G6" s="35"/>
    </row>
    <row r="7" spans="1:7" ht="13.5" customHeight="1" thickTop="1">
      <c r="A7" s="27"/>
      <c r="B7" s="27"/>
      <c r="C7" s="27"/>
      <c r="D7" s="27"/>
      <c r="E7" s="27"/>
      <c r="F7" s="27"/>
      <c r="G7" s="36">
        <v>24</v>
      </c>
    </row>
    <row r="8" spans="1:7" ht="12.75">
      <c r="A8" s="37" t="s">
        <v>3</v>
      </c>
      <c r="B8" s="37" t="s">
        <v>4</v>
      </c>
      <c r="C8" s="37" t="s">
        <v>5</v>
      </c>
      <c r="D8" s="37" t="s">
        <v>6</v>
      </c>
      <c r="E8" s="37"/>
      <c r="F8" s="95" t="s">
        <v>7</v>
      </c>
      <c r="G8" s="95"/>
    </row>
    <row r="9" spans="1:7" ht="12.75">
      <c r="A9" s="7">
        <v>1</v>
      </c>
      <c r="B9" s="7">
        <v>2217</v>
      </c>
      <c r="C9" s="7">
        <v>22</v>
      </c>
      <c r="D9" s="7">
        <v>63.48</v>
      </c>
      <c r="E9" s="7"/>
      <c r="F9" s="90" t="s">
        <v>80</v>
      </c>
      <c r="G9" s="90"/>
    </row>
    <row r="11" ht="12.75" customHeight="1">
      <c r="G11" s="105" t="s">
        <v>84</v>
      </c>
    </row>
    <row r="12" spans="1:7" ht="12.75">
      <c r="A12" s="8" t="s">
        <v>8</v>
      </c>
      <c r="B12" s="8"/>
      <c r="C12" s="9"/>
      <c r="D12" s="10"/>
      <c r="E12" s="10"/>
      <c r="F12" s="11" t="s">
        <v>9</v>
      </c>
      <c r="G12" s="12">
        <v>9695840</v>
      </c>
    </row>
    <row r="13" spans="1:7" ht="12.75">
      <c r="A13" s="1" t="s">
        <v>10</v>
      </c>
      <c r="B13" s="1" t="s">
        <v>11</v>
      </c>
      <c r="C13" s="13"/>
      <c r="F13" s="14"/>
      <c r="G13" s="15">
        <f>ROUND(IF(ISERROR(FIND("PARKING",Model,1)),IF(SellingPrice&gt;3199200,(G12-(G12/1.12)),0),(G12-(G12/1.12))),2)</f>
        <v>1038840</v>
      </c>
    </row>
    <row r="14" spans="1:10" ht="12.75" hidden="1">
      <c r="A14" s="6">
        <v>0</v>
      </c>
      <c r="B14" s="1" t="str">
        <f>CONCATENATE(A14,"% Discount on ",A35,"% SFDP")</f>
        <v>0% Discount on 20% SFDP</v>
      </c>
      <c r="F14" s="14"/>
      <c r="G14" s="16">
        <v>0</v>
      </c>
      <c r="I14" s="16"/>
      <c r="J14" s="16"/>
    </row>
    <row r="15" spans="2:10" ht="12.75" hidden="1">
      <c r="B15" s="1" t="s">
        <v>12</v>
      </c>
      <c r="G15" s="16">
        <v>0</v>
      </c>
      <c r="I15" s="16"/>
      <c r="J15" s="16"/>
    </row>
    <row r="16" spans="2:10" ht="12.75" hidden="1">
      <c r="B16" s="1" t="s">
        <v>13</v>
      </c>
      <c r="G16" s="16">
        <v>0</v>
      </c>
      <c r="I16" s="16"/>
      <c r="J16" s="16"/>
    </row>
    <row r="17" spans="2:9" ht="12.75" hidden="1">
      <c r="B17" s="1" t="s">
        <v>14</v>
      </c>
      <c r="G17" s="16">
        <v>0</v>
      </c>
      <c r="I17" s="16"/>
    </row>
    <row r="18" spans="2:9" ht="12.75" hidden="1">
      <c r="B18" s="1" t="s">
        <v>15</v>
      </c>
      <c r="G18" s="16">
        <v>0</v>
      </c>
      <c r="I18" s="16"/>
    </row>
    <row r="19" spans="2:9" ht="12.75" hidden="1">
      <c r="B19" s="1" t="s">
        <v>16</v>
      </c>
      <c r="G19" s="16">
        <v>0</v>
      </c>
      <c r="I19" s="16"/>
    </row>
    <row r="20" spans="2:10" ht="12.75" hidden="1">
      <c r="B20" s="1" t="s">
        <v>17</v>
      </c>
      <c r="G20" s="16">
        <v>0</v>
      </c>
      <c r="H20" s="16"/>
      <c r="I20" s="16"/>
      <c r="J20" s="16"/>
    </row>
    <row r="21" spans="2:10" ht="12.75" hidden="1">
      <c r="B21" s="1" t="s">
        <v>18</v>
      </c>
      <c r="G21" s="16">
        <v>0</v>
      </c>
      <c r="J21" s="16"/>
    </row>
    <row r="22" spans="2:10" ht="12.75" hidden="1">
      <c r="B22" s="1" t="s">
        <v>19</v>
      </c>
      <c r="G22" s="16">
        <v>0</v>
      </c>
      <c r="J22" s="16"/>
    </row>
    <row r="23" spans="2:10" ht="12.75" hidden="1">
      <c r="B23" s="1" t="s">
        <v>20</v>
      </c>
      <c r="G23" s="16">
        <v>0</v>
      </c>
      <c r="J23" s="16"/>
    </row>
    <row r="24" spans="2:10" ht="12.75">
      <c r="B24" s="1" t="s">
        <v>77</v>
      </c>
      <c r="G24" s="16">
        <f>(SellingPrice-G13)*10%</f>
        <v>865700</v>
      </c>
      <c r="J24" s="16"/>
    </row>
    <row r="25" spans="6:10" ht="13.5" customHeight="1" thickBot="1">
      <c r="F25" s="14"/>
      <c r="G25" s="17"/>
      <c r="J25" s="16"/>
    </row>
    <row r="26" spans="1:7" ht="13.5" customHeight="1" thickTop="1">
      <c r="A26" s="8" t="s">
        <v>41</v>
      </c>
      <c r="B26" s="18"/>
      <c r="C26" s="10"/>
      <c r="D26" s="10"/>
      <c r="E26" s="10"/>
      <c r="F26" s="11" t="s">
        <v>9</v>
      </c>
      <c r="G26" s="19">
        <f>(SellingPrice-G13)-SUM(G14:G24)</f>
        <v>7791300</v>
      </c>
    </row>
    <row r="27" spans="1:9" ht="12.75">
      <c r="A27" s="1" t="s">
        <v>23</v>
      </c>
      <c r="B27" s="1" t="s">
        <v>11</v>
      </c>
      <c r="G27" s="16">
        <f>ROUND(IF(ISERROR(FIND("PARKING",Model,1)),IF(G26&gt;3199200,G26*12%,0),G26*12%),2)</f>
        <v>934956</v>
      </c>
      <c r="I27" s="16"/>
    </row>
    <row r="28" spans="1:7" ht="12.75" hidden="1">
      <c r="A28" s="6">
        <v>7</v>
      </c>
      <c r="B28" s="1" t="s">
        <v>24</v>
      </c>
      <c r="G28" s="16">
        <f>ROUND(G26*(A28/100),2)</f>
        <v>545391</v>
      </c>
    </row>
    <row r="29" spans="1:7" ht="12.75" hidden="1">
      <c r="A29" s="6"/>
      <c r="B29" s="1" t="s">
        <v>25</v>
      </c>
      <c r="F29" s="6">
        <f>IF(G29&gt;50000,50000,G29)</f>
        <v>0</v>
      </c>
      <c r="G29" s="16">
        <v>0</v>
      </c>
    </row>
    <row r="30" spans="1:7" ht="12.75" hidden="1">
      <c r="A30" s="6"/>
      <c r="B30" s="1" t="s">
        <v>26</v>
      </c>
      <c r="G30" s="16">
        <v>0</v>
      </c>
    </row>
    <row r="31" spans="1:7" ht="13.5" customHeight="1" thickBot="1">
      <c r="A31" s="6"/>
      <c r="B31" s="1" t="s">
        <v>24</v>
      </c>
      <c r="G31" s="16">
        <f>ROUND(SUM(G28,G30,F29),2)+210000</f>
        <v>755391</v>
      </c>
    </row>
    <row r="32" spans="1:7" ht="13.5" customHeight="1" thickTop="1">
      <c r="A32" s="8" t="s">
        <v>27</v>
      </c>
      <c r="B32" s="10"/>
      <c r="C32" s="10"/>
      <c r="D32" s="10"/>
      <c r="E32" s="10"/>
      <c r="F32" s="11" t="s">
        <v>9</v>
      </c>
      <c r="G32" s="19">
        <f>G26+SUM(G27,G31)</f>
        <v>9481647</v>
      </c>
    </row>
    <row r="34" ht="12.75">
      <c r="A34" s="72" t="s">
        <v>42</v>
      </c>
    </row>
    <row r="35" spans="1:10" ht="12.75">
      <c r="A35" s="23">
        <v>20</v>
      </c>
      <c r="B35" s="1" t="str">
        <f>CONCATENATE("Downpayment ("&amp;A35&amp;"% of Selling Price)")</f>
        <v>Downpayment (20% of Selling Price)</v>
      </c>
      <c r="G35" s="16">
        <f>ROUND((G26+G27)*(A35/100),2)</f>
        <v>1745251.2</v>
      </c>
      <c r="J35" s="16"/>
    </row>
    <row r="36" spans="1:10" ht="13.5" customHeight="1" thickBot="1">
      <c r="A36" s="72"/>
      <c r="B36" s="1" t="s">
        <v>43</v>
      </c>
      <c r="G36" s="16">
        <f>ROUND(G31*(A35/100),2)</f>
        <v>151078.2</v>
      </c>
      <c r="J36" s="73"/>
    </row>
    <row r="37" spans="1:7" ht="13.5" customHeight="1" thickTop="1">
      <c r="A37" s="8" t="s">
        <v>44</v>
      </c>
      <c r="B37" s="10"/>
      <c r="C37" s="10"/>
      <c r="D37" s="10"/>
      <c r="E37" s="10"/>
      <c r="F37" s="11" t="s">
        <v>9</v>
      </c>
      <c r="G37" s="19">
        <f>SUM(G35:G36)</f>
        <v>1896329.4</v>
      </c>
    </row>
    <row r="38" spans="1:7" ht="13.5" customHeight="1" thickBot="1">
      <c r="A38" s="1" t="s">
        <v>10</v>
      </c>
      <c r="B38" s="1" t="s">
        <v>28</v>
      </c>
      <c r="F38" s="20">
        <f ca="1">NOW()</f>
        <v>44048.817865509256</v>
      </c>
      <c r="G38" s="16">
        <v>20000</v>
      </c>
    </row>
    <row r="39" spans="1:7" ht="13.5" customHeight="1" thickTop="1">
      <c r="A39" s="8" t="s">
        <v>45</v>
      </c>
      <c r="B39" s="10"/>
      <c r="C39" s="10"/>
      <c r="D39" s="10"/>
      <c r="E39" s="22"/>
      <c r="F39" s="11" t="s">
        <v>9</v>
      </c>
      <c r="G39" s="19">
        <f>G37-G38</f>
        <v>1876329.4</v>
      </c>
    </row>
    <row r="40" ht="12.75">
      <c r="A40" s="6">
        <v>0</v>
      </c>
    </row>
    <row r="41" spans="1:7" ht="25.5" customHeight="1">
      <c r="A41" s="74">
        <v>24</v>
      </c>
      <c r="B41" s="102" t="s">
        <v>47</v>
      </c>
      <c r="C41" s="102"/>
      <c r="D41" s="75" t="s">
        <v>48</v>
      </c>
      <c r="E41" s="76" t="s">
        <v>49</v>
      </c>
      <c r="F41" s="77" t="s">
        <v>24</v>
      </c>
      <c r="G41" s="78" t="s">
        <v>50</v>
      </c>
    </row>
    <row r="42" spans="1:7" ht="12.75">
      <c r="A42" s="103" t="s">
        <v>51</v>
      </c>
      <c r="B42" s="103"/>
      <c r="C42" s="103"/>
      <c r="D42" s="80">
        <f>ReservationDate+29</f>
        <v>44077.817865509256</v>
      </c>
      <c r="E42" s="15">
        <f>ROUND((G37-G38-G36)/A41,2)</f>
        <v>71885.47</v>
      </c>
      <c r="F42" s="81">
        <f>ROUND(SUM(G36:G36)/A41,2)</f>
        <v>6294.93</v>
      </c>
      <c r="G42" s="16">
        <f>SUM(E42:F42)</f>
        <v>78180.4</v>
      </c>
    </row>
    <row r="43" spans="1:7" ht="12.75">
      <c r="A43" s="103" t="s">
        <v>52</v>
      </c>
      <c r="B43" s="103"/>
      <c r="C43" s="103"/>
      <c r="D43" s="66">
        <f>IF(AND(DAY(D42)&gt;2,DAY(D42)&lt;19),DATE(YEAR(D42+30),MONTH(D42+30),DAY(17)),DATE(YEAR(D42+30),MONTH(D42+30)+1,DAY(2)))</f>
        <v>44121</v>
      </c>
      <c r="E43" s="15">
        <f>IF($A$41&lt;VALUE(LEFT(A43,1))," ",IF($A$41=VALUE(LEFT(A43,1)),($G$37-$G$38-$G$36)-($E$42*($A$41-1)),E42))</f>
        <v>71885.47</v>
      </c>
      <c r="F43" s="81">
        <f>IF($A$41&lt;VALUE(LEFT(A43,1))," ",IF($A$41=VALUE(LEFT(A43,1)),$G$36-($F$42*($A$41-1)),F42))</f>
        <v>6294.93</v>
      </c>
      <c r="G43" s="16">
        <f>IF($A$41&lt;VALUE(LEFT(A43,1))," ",SUM(E43:F43))</f>
        <v>78180.4</v>
      </c>
    </row>
    <row r="44" spans="1:7" ht="12.75">
      <c r="A44" s="103" t="s">
        <v>53</v>
      </c>
      <c r="B44" s="103"/>
      <c r="C44" s="103"/>
      <c r="D44" s="80">
        <f>IF($A$41&lt;VALUE(LEFT(A44,1))," ",DATE(YEAR(D43+30),MONTH(D43+30),DAY(D43)))</f>
        <v>44152</v>
      </c>
      <c r="E44" s="15">
        <f aca="true" t="shared" si="0" ref="E44:E50">IF($A$41&lt;VALUE(LEFT(A44,1))," ",IF($A$41=VALUE(LEFT(A44,1)),($G$37-$G$38-$G$36)-($E$42*($A$41-1)),E43))</f>
        <v>71885.47</v>
      </c>
      <c r="F44" s="81">
        <f aca="true" t="shared" si="1" ref="F44:F50">IF($A$41&lt;VALUE(LEFT(A44,1))," ",IF($A$41=VALUE(LEFT(A44,1)),$G$36-($F$42*($A$41-1)),F43))</f>
        <v>6294.93</v>
      </c>
      <c r="G44" s="16">
        <f aca="true" t="shared" si="2" ref="G44:G50">IF($A$41&lt;VALUE(LEFT(A44,1))," ",SUM(E44:F44))</f>
        <v>78180.4</v>
      </c>
    </row>
    <row r="45" spans="1:7" ht="12.75">
      <c r="A45" s="103" t="s">
        <v>54</v>
      </c>
      <c r="B45" s="103"/>
      <c r="C45" s="103"/>
      <c r="D45" s="80">
        <f aca="true" t="shared" si="3" ref="D45:D50">IF($A$41&lt;VALUE(LEFT(A45,1))," ",DATE(YEAR(D44+30),MONTH(D44+30),DAY(D44)))</f>
        <v>44182</v>
      </c>
      <c r="E45" s="15">
        <f t="shared" si="0"/>
        <v>71885.47</v>
      </c>
      <c r="F45" s="81">
        <f t="shared" si="1"/>
        <v>6294.93</v>
      </c>
      <c r="G45" s="16">
        <f t="shared" si="2"/>
        <v>78180.4</v>
      </c>
    </row>
    <row r="46" spans="1:7" ht="12.75">
      <c r="A46" s="103" t="s">
        <v>55</v>
      </c>
      <c r="B46" s="103"/>
      <c r="C46" s="103"/>
      <c r="D46" s="80">
        <f t="shared" si="3"/>
        <v>44213</v>
      </c>
      <c r="E46" s="15">
        <f t="shared" si="0"/>
        <v>71885.47</v>
      </c>
      <c r="F46" s="81">
        <f t="shared" si="1"/>
        <v>6294.93</v>
      </c>
      <c r="G46" s="16">
        <f t="shared" si="2"/>
        <v>78180.4</v>
      </c>
    </row>
    <row r="47" spans="1:7" ht="12.75">
      <c r="A47" s="103" t="s">
        <v>56</v>
      </c>
      <c r="B47" s="103"/>
      <c r="C47" s="103"/>
      <c r="D47" s="80">
        <f t="shared" si="3"/>
        <v>44244</v>
      </c>
      <c r="E47" s="15">
        <f t="shared" si="0"/>
        <v>71885.47</v>
      </c>
      <c r="F47" s="81">
        <f t="shared" si="1"/>
        <v>6294.93</v>
      </c>
      <c r="G47" s="16">
        <f t="shared" si="2"/>
        <v>78180.4</v>
      </c>
    </row>
    <row r="48" spans="1:7" ht="12.75">
      <c r="A48" s="103" t="s">
        <v>62</v>
      </c>
      <c r="B48" s="103"/>
      <c r="C48" s="103"/>
      <c r="D48" s="80">
        <f t="shared" si="3"/>
        <v>44272</v>
      </c>
      <c r="E48" s="15">
        <f t="shared" si="0"/>
        <v>71885.47</v>
      </c>
      <c r="F48" s="81">
        <f t="shared" si="1"/>
        <v>6294.93</v>
      </c>
      <c r="G48" s="16">
        <f t="shared" si="2"/>
        <v>78180.4</v>
      </c>
    </row>
    <row r="49" spans="1:7" ht="12.75">
      <c r="A49" s="103" t="s">
        <v>63</v>
      </c>
      <c r="B49" s="103"/>
      <c r="C49" s="103"/>
      <c r="D49" s="80">
        <f t="shared" si="3"/>
        <v>44303</v>
      </c>
      <c r="E49" s="15">
        <f t="shared" si="0"/>
        <v>71885.47</v>
      </c>
      <c r="F49" s="81">
        <f t="shared" si="1"/>
        <v>6294.93</v>
      </c>
      <c r="G49" s="16">
        <f t="shared" si="2"/>
        <v>78180.4</v>
      </c>
    </row>
    <row r="50" spans="1:7" ht="12.75">
      <c r="A50" s="103" t="s">
        <v>64</v>
      </c>
      <c r="B50" s="103"/>
      <c r="C50" s="103"/>
      <c r="D50" s="80">
        <f t="shared" si="3"/>
        <v>44333</v>
      </c>
      <c r="E50" s="15">
        <f t="shared" si="0"/>
        <v>71885.47</v>
      </c>
      <c r="F50" s="81">
        <f t="shared" si="1"/>
        <v>6294.93</v>
      </c>
      <c r="G50" s="16">
        <f t="shared" si="2"/>
        <v>78180.4</v>
      </c>
    </row>
    <row r="51" spans="1:7" ht="12.75">
      <c r="A51" s="103" t="s">
        <v>65</v>
      </c>
      <c r="B51" s="103"/>
      <c r="C51" s="103"/>
      <c r="D51" s="80">
        <f>IF($A$41&lt;VALUE(LEFT(A51,2))," ",DATE(YEAR(D50+30),MONTH(D50+30),DAY(D50)))</f>
        <v>44364</v>
      </c>
      <c r="E51" s="15">
        <f>IF($A$41&lt;VALUE(LEFT(A51,2))," ",IF($A$41=VALUE(LEFT(A51,2)),($G$37-$G$38-$G$36)-($E$42*($A$41-1)),E50))</f>
        <v>71885.47</v>
      </c>
      <c r="F51" s="81">
        <f>IF($A$41&lt;VALUE(LEFT(A51,2))," ",IF($A$41=VALUE(LEFT(A51,2)),$G$36-($F$42*($A$41-1)),F50))</f>
        <v>6294.93</v>
      </c>
      <c r="G51" s="16">
        <f>IF($A$41&lt;VALUE(LEFT(A51,2))," ",SUM(E51:F51))</f>
        <v>78180.4</v>
      </c>
    </row>
    <row r="52" spans="1:7" ht="12.75">
      <c r="A52" s="103" t="s">
        <v>66</v>
      </c>
      <c r="B52" s="103"/>
      <c r="C52" s="103"/>
      <c r="D52" s="80">
        <f>IF($A$41&lt;VALUE(LEFT(A52,2))," ",DATE(YEAR(D51+30),MONTH(D51+30),DAY(D51)))</f>
        <v>44394</v>
      </c>
      <c r="E52" s="15">
        <f>IF($A$41&lt;VALUE(LEFT(A52,2))," ",IF($A$41=VALUE(LEFT(A52,2)),($G$37-$G$38-$G$36)-($E$42*($A$41-1)),E51))</f>
        <v>71885.47</v>
      </c>
      <c r="F52" s="81">
        <f>IF($A$41&lt;VALUE(LEFT(A52,2))," ",IF($A$41=VALUE(LEFT(A52,2)),$G$36-($F$42*($A$41-1)),F51))</f>
        <v>6294.93</v>
      </c>
      <c r="G52" s="16">
        <f>IF($A$41&lt;VALUE(LEFT(A52,2))," ",SUM(E52:F52))</f>
        <v>78180.4</v>
      </c>
    </row>
    <row r="53" spans="1:7" ht="12.75">
      <c r="A53" s="103" t="s">
        <v>67</v>
      </c>
      <c r="B53" s="103"/>
      <c r="C53" s="103"/>
      <c r="D53" s="80">
        <f>IF($A$41&lt;VALUE(LEFT(A53,2))," ",DATE(YEAR(D52+30),MONTH(D52+30),DAY(D52)))</f>
        <v>44425</v>
      </c>
      <c r="E53" s="15">
        <f>IF($A$41&lt;VALUE(LEFT(A53,2))," ",IF($A$41=VALUE(LEFT(A53,2)),($G$37-$G$38-$G$36)-($E$42*($A$41-1)),E52))</f>
        <v>71885.47</v>
      </c>
      <c r="F53" s="81">
        <f>IF($A$41&lt;VALUE(LEFT(A53,2))," ",IF($A$41=VALUE(LEFT(A53,2)),$G$36-($F$42*($A$41-1)),F52))</f>
        <v>6294.93</v>
      </c>
      <c r="G53" s="16">
        <f>IF($A$41&lt;VALUE(LEFT(A53,2))," ",SUM(E53:F53))</f>
        <v>78180.4</v>
      </c>
    </row>
    <row r="54" spans="1:7" ht="12.75">
      <c r="A54" s="103" t="s">
        <v>68</v>
      </c>
      <c r="B54" s="103"/>
      <c r="C54" s="103"/>
      <c r="D54" s="80">
        <f aca="true" t="shared" si="4" ref="D54:D62">IF($A$41&lt;VALUE(LEFT(A54,2))," ",DATE(YEAR(D53+30),MONTH(D53+30),DAY(D53)))</f>
        <v>44456</v>
      </c>
      <c r="E54" s="15">
        <f aca="true" t="shared" si="5" ref="E54:E62">IF($A$41&lt;VALUE(LEFT(A54,2))," ",IF($A$41=VALUE(LEFT(A54,2)),($G$37-$G$38-$G$36)-($E$42*($A$41-1)),E53))</f>
        <v>71885.47</v>
      </c>
      <c r="F54" s="81">
        <f aca="true" t="shared" si="6" ref="F54:F62">IF($A$41&lt;VALUE(LEFT(A54,2))," ",IF($A$41=VALUE(LEFT(A54,2)),$G$36-($F$42*($A$41-1)),F53))</f>
        <v>6294.93</v>
      </c>
      <c r="G54" s="16">
        <f aca="true" t="shared" si="7" ref="G54:G62">IF($A$41&lt;VALUE(LEFT(A54,2))," ",SUM(E54:F54))</f>
        <v>78180.4</v>
      </c>
    </row>
    <row r="55" spans="1:7" ht="12.75">
      <c r="A55" s="103" t="s">
        <v>69</v>
      </c>
      <c r="B55" s="103"/>
      <c r="C55" s="103"/>
      <c r="D55" s="80">
        <f t="shared" si="4"/>
        <v>44486</v>
      </c>
      <c r="E55" s="15">
        <f t="shared" si="5"/>
        <v>71885.47</v>
      </c>
      <c r="F55" s="81">
        <f t="shared" si="6"/>
        <v>6294.93</v>
      </c>
      <c r="G55" s="16">
        <f t="shared" si="7"/>
        <v>78180.4</v>
      </c>
    </row>
    <row r="56" spans="1:7" ht="12.75">
      <c r="A56" s="103" t="s">
        <v>70</v>
      </c>
      <c r="B56" s="103"/>
      <c r="C56" s="103"/>
      <c r="D56" s="80">
        <f t="shared" si="4"/>
        <v>44517</v>
      </c>
      <c r="E56" s="15">
        <f t="shared" si="5"/>
        <v>71885.47</v>
      </c>
      <c r="F56" s="81">
        <f t="shared" si="6"/>
        <v>6294.93</v>
      </c>
      <c r="G56" s="16">
        <f t="shared" si="7"/>
        <v>78180.4</v>
      </c>
    </row>
    <row r="57" spans="1:7" ht="12.75">
      <c r="A57" s="103" t="s">
        <v>71</v>
      </c>
      <c r="B57" s="103"/>
      <c r="C57" s="103"/>
      <c r="D57" s="80">
        <f t="shared" si="4"/>
        <v>44547</v>
      </c>
      <c r="E57" s="15">
        <f t="shared" si="5"/>
        <v>71885.47</v>
      </c>
      <c r="F57" s="81">
        <f t="shared" si="6"/>
        <v>6294.93</v>
      </c>
      <c r="G57" s="16">
        <f t="shared" si="7"/>
        <v>78180.4</v>
      </c>
    </row>
    <row r="58" spans="1:7" ht="12.75">
      <c r="A58" s="103" t="s">
        <v>72</v>
      </c>
      <c r="B58" s="103"/>
      <c r="C58" s="103"/>
      <c r="D58" s="80">
        <f t="shared" si="4"/>
        <v>44578</v>
      </c>
      <c r="E58" s="15">
        <f t="shared" si="5"/>
        <v>71885.47</v>
      </c>
      <c r="F58" s="81">
        <f t="shared" si="6"/>
        <v>6294.93</v>
      </c>
      <c r="G58" s="16">
        <f t="shared" si="7"/>
        <v>78180.4</v>
      </c>
    </row>
    <row r="59" spans="1:7" ht="12.75">
      <c r="A59" s="103" t="s">
        <v>73</v>
      </c>
      <c r="B59" s="103"/>
      <c r="C59" s="103"/>
      <c r="D59" s="80">
        <f t="shared" si="4"/>
        <v>44609</v>
      </c>
      <c r="E59" s="15">
        <f t="shared" si="5"/>
        <v>71885.47</v>
      </c>
      <c r="F59" s="81">
        <f t="shared" si="6"/>
        <v>6294.93</v>
      </c>
      <c r="G59" s="16">
        <f t="shared" si="7"/>
        <v>78180.4</v>
      </c>
    </row>
    <row r="60" spans="1:7" ht="12.75">
      <c r="A60" s="103" t="s">
        <v>74</v>
      </c>
      <c r="B60" s="103"/>
      <c r="C60" s="103"/>
      <c r="D60" s="80">
        <f t="shared" si="4"/>
        <v>44637</v>
      </c>
      <c r="E60" s="15">
        <f t="shared" si="5"/>
        <v>71885.47</v>
      </c>
      <c r="F60" s="81">
        <f t="shared" si="6"/>
        <v>6294.93</v>
      </c>
      <c r="G60" s="16">
        <f t="shared" si="7"/>
        <v>78180.4</v>
      </c>
    </row>
    <row r="61" spans="1:7" ht="12.75">
      <c r="A61" s="103" t="s">
        <v>75</v>
      </c>
      <c r="B61" s="103"/>
      <c r="C61" s="103"/>
      <c r="D61" s="80">
        <f t="shared" si="4"/>
        <v>44668</v>
      </c>
      <c r="E61" s="15">
        <f t="shared" si="5"/>
        <v>71885.47</v>
      </c>
      <c r="F61" s="81">
        <f t="shared" si="6"/>
        <v>6294.93</v>
      </c>
      <c r="G61" s="16">
        <f t="shared" si="7"/>
        <v>78180.4</v>
      </c>
    </row>
    <row r="62" spans="1:7" ht="12.75">
      <c r="A62" s="103" t="s">
        <v>76</v>
      </c>
      <c r="B62" s="103"/>
      <c r="C62" s="103"/>
      <c r="D62" s="80">
        <f t="shared" si="4"/>
        <v>44698</v>
      </c>
      <c r="E62" s="15">
        <f t="shared" si="5"/>
        <v>71885.47</v>
      </c>
      <c r="F62" s="81">
        <f t="shared" si="6"/>
        <v>6294.93</v>
      </c>
      <c r="G62" s="16">
        <f t="shared" si="7"/>
        <v>78180.4</v>
      </c>
    </row>
    <row r="63" spans="1:7" ht="12.75">
      <c r="A63" s="103" t="s">
        <v>81</v>
      </c>
      <c r="B63" s="103"/>
      <c r="C63" s="103"/>
      <c r="D63" s="80">
        <f>IF($A$41&lt;VALUE(LEFT(A63,2))," ",DATE(YEAR(D62+30),MONTH(D62+30),DAY(D62)))</f>
        <v>44729</v>
      </c>
      <c r="E63" s="15">
        <f>IF($A$41&lt;VALUE(LEFT(A63,2))," ",IF($A$41=VALUE(LEFT(A63,2)),($G$37-$G$38-$G$36)-($E$42*($A$41-1)),E62))</f>
        <v>71885.47</v>
      </c>
      <c r="F63" s="81">
        <f>IF($A$41&lt;VALUE(LEFT(A63,2))," ",IF($A$41=VALUE(LEFT(A63,2)),$G$36-($F$42*($A$41-1)),F62))</f>
        <v>6294.93</v>
      </c>
      <c r="G63" s="16">
        <f>IF($A$41&lt;VALUE(LEFT(A63,2))," ",SUM(E63:F63))</f>
        <v>78180.4</v>
      </c>
    </row>
    <row r="64" spans="1:7" ht="12.75">
      <c r="A64" s="103" t="s">
        <v>82</v>
      </c>
      <c r="B64" s="103"/>
      <c r="C64" s="103"/>
      <c r="D64" s="80">
        <f>IF($A$41&lt;VALUE(LEFT(A64,2))," ",DATE(YEAR(D63+30),MONTH(D63+30),DAY(D63)))</f>
        <v>44759</v>
      </c>
      <c r="E64" s="15">
        <f>IF($A$41&lt;VALUE(LEFT(A64,2))," ",IF($A$41=VALUE(LEFT(A64,2)),($G$37-$G$38-$G$36)-($E$42*($A$41-1)),E63))</f>
        <v>71885.47</v>
      </c>
      <c r="F64" s="81">
        <f>IF($A$41&lt;VALUE(LEFT(A64,2))," ",IF($A$41=VALUE(LEFT(A64,2)),$G$36-($F$42*($A$41-1)),F63))</f>
        <v>6294.93</v>
      </c>
      <c r="G64" s="16">
        <f>IF($A$41&lt;VALUE(LEFT(A64,2))," ",SUM(E64:F64))</f>
        <v>78180.4</v>
      </c>
    </row>
    <row r="65" spans="1:7" ht="12.75">
      <c r="A65" s="103" t="s">
        <v>83</v>
      </c>
      <c r="B65" s="103"/>
      <c r="C65" s="103"/>
      <c r="D65" s="80">
        <f>IF($A$41&lt;VALUE(LEFT(A65,2))," ",DATE(YEAR(D64+30),MONTH(D64+30),DAY(D64)))</f>
        <v>44790</v>
      </c>
      <c r="E65" s="15">
        <f>IF($A$41&lt;VALUE(LEFT(A65,2))," ",IF($A$41=VALUE(LEFT(A65,2)),($G$37-$G$38-$G$36)-($E$42*($A$41-1)),E64))</f>
        <v>71885.3899999999</v>
      </c>
      <c r="F65" s="81">
        <f>IF($A$41&lt;VALUE(LEFT(A65,2))," ",IF($A$41=VALUE(LEFT(A65,2)),$G$36-($F$42*($A$41-1)),F64))</f>
        <v>6294.809999999998</v>
      </c>
      <c r="G65" s="16">
        <f>IF($A$41&lt;VALUE(LEFT(A65,2))," ",SUM(E65:F65))</f>
        <v>78180.1999999999</v>
      </c>
    </row>
    <row r="66" spans="1:7" ht="12.75">
      <c r="A66" s="79"/>
      <c r="B66" s="79"/>
      <c r="C66" s="79"/>
      <c r="D66" s="80"/>
      <c r="E66" s="15"/>
      <c r="F66" s="81"/>
      <c r="G66" s="16"/>
    </row>
    <row r="67" spans="2:7" ht="12.75">
      <c r="B67" s="82"/>
      <c r="E67" s="83"/>
      <c r="F67" s="20"/>
      <c r="G67" s="84"/>
    </row>
    <row r="68" ht="12.75">
      <c r="A68" s="72" t="s">
        <v>57</v>
      </c>
    </row>
    <row r="69" spans="2:6" ht="12.75">
      <c r="B69" s="1" t="s">
        <v>58</v>
      </c>
      <c r="F69" s="85">
        <f>D60</f>
        <v>44637</v>
      </c>
    </row>
    <row r="70" spans="2:9" ht="12.75">
      <c r="B70" s="1" t="s">
        <v>59</v>
      </c>
      <c r="F70" s="85">
        <f>DATE(YEAR(MAX(D42:D65)+30),MONTH(MAX(D54:D65)+30),DAY(D43))</f>
        <v>44821</v>
      </c>
      <c r="G70" s="86">
        <f>ROUND(((G26+G27)*((100-A35)/100))+(G31*(100-A35)/100),2)</f>
        <v>7585317.6</v>
      </c>
      <c r="I70" s="16"/>
    </row>
    <row r="71" ht="12.75">
      <c r="B71" s="1" t="s">
        <v>60</v>
      </c>
    </row>
    <row r="73" spans="1:4" ht="12.75">
      <c r="A73" s="24" t="s">
        <v>30</v>
      </c>
      <c r="B73" s="25"/>
      <c r="C73" s="25"/>
      <c r="D73" s="25"/>
    </row>
    <row r="74" spans="1:7" ht="12.75">
      <c r="A74" s="96" t="s">
        <v>61</v>
      </c>
      <c r="B74" s="96"/>
      <c r="C74" s="96"/>
      <c r="D74" s="96"/>
      <c r="E74" s="96"/>
      <c r="F74" s="96"/>
      <c r="G74" s="96"/>
    </row>
    <row r="75" spans="1:4" ht="12.75">
      <c r="A75" s="25" t="s">
        <v>32</v>
      </c>
      <c r="B75" s="25"/>
      <c r="C75" s="25"/>
      <c r="D75" s="25"/>
    </row>
    <row r="76" spans="1:4" ht="12.75">
      <c r="A76" s="25" t="s">
        <v>33</v>
      </c>
      <c r="B76" s="25"/>
      <c r="C76" s="25"/>
      <c r="D76" s="25"/>
    </row>
    <row r="77" spans="1:4" ht="12.75">
      <c r="A77" s="25" t="s">
        <v>34</v>
      </c>
      <c r="B77" s="25"/>
      <c r="C77" s="25"/>
      <c r="D77" s="25"/>
    </row>
    <row r="78" spans="1:4" ht="12.75">
      <c r="A78" s="26" t="s">
        <v>35</v>
      </c>
      <c r="B78" s="25"/>
      <c r="C78" s="25"/>
      <c r="D78" s="25"/>
    </row>
    <row r="79" spans="1:4" ht="12.75">
      <c r="A79" s="26" t="s">
        <v>36</v>
      </c>
      <c r="B79" s="25"/>
      <c r="C79" s="25"/>
      <c r="D79" s="25"/>
    </row>
    <row r="80" spans="1:4" ht="12.75">
      <c r="A80" s="26" t="s">
        <v>37</v>
      </c>
      <c r="B80" s="25"/>
      <c r="C80" s="25"/>
      <c r="D80" s="25"/>
    </row>
    <row r="81" spans="1:4" ht="12.75">
      <c r="A81" s="26" t="s">
        <v>38</v>
      </c>
      <c r="B81" s="25"/>
      <c r="C81" s="25"/>
      <c r="D81" s="25"/>
    </row>
    <row r="82" spans="1:4" ht="12.75">
      <c r="A82" s="26" t="s">
        <v>39</v>
      </c>
      <c r="B82" s="25"/>
      <c r="C82" s="25"/>
      <c r="D82" s="25"/>
    </row>
    <row r="83" spans="1:7" ht="12.75">
      <c r="A83" s="96" t="s">
        <v>40</v>
      </c>
      <c r="B83" s="96"/>
      <c r="C83" s="96"/>
      <c r="D83" s="96"/>
      <c r="E83" s="96"/>
      <c r="F83" s="96"/>
      <c r="G83" s="96"/>
    </row>
  </sheetData>
  <sheetProtection/>
  <mergeCells count="32">
    <mergeCell ref="A63:C63"/>
    <mergeCell ref="A64:C64"/>
    <mergeCell ref="A65:C65"/>
    <mergeCell ref="A62:C62"/>
    <mergeCell ref="A54:C54"/>
    <mergeCell ref="A55:C55"/>
    <mergeCell ref="A56:C56"/>
    <mergeCell ref="A57:C57"/>
    <mergeCell ref="A58:C58"/>
    <mergeCell ref="A59:C59"/>
    <mergeCell ref="A74:G74"/>
    <mergeCell ref="A83:G83"/>
    <mergeCell ref="A48:C48"/>
    <mergeCell ref="A49:C49"/>
    <mergeCell ref="A50:C50"/>
    <mergeCell ref="A51:C51"/>
    <mergeCell ref="A52:C52"/>
    <mergeCell ref="A53:C53"/>
    <mergeCell ref="A60:C60"/>
    <mergeCell ref="A61:C61"/>
    <mergeCell ref="A42:C42"/>
    <mergeCell ref="A43:C43"/>
    <mergeCell ref="A44:C44"/>
    <mergeCell ref="A45:C45"/>
    <mergeCell ref="A46:C46"/>
    <mergeCell ref="A47:C47"/>
    <mergeCell ref="B3:F3"/>
    <mergeCell ref="B4:F4"/>
    <mergeCell ref="A5:G5"/>
    <mergeCell ref="F8:G8"/>
    <mergeCell ref="F9:G9"/>
    <mergeCell ref="B41:C41"/>
  </mergeCells>
  <conditionalFormatting sqref="B13 B27">
    <cfRule type="expression" priority="2" dxfId="13" stopIfTrue="1">
      <formula>G13=0</formula>
    </cfRule>
  </conditionalFormatting>
  <conditionalFormatting sqref="A43:C50">
    <cfRule type="expression" priority="3" dxfId="13" stopIfTrue="1">
      <formula>VALUE(NoDPSchedule)&lt;VALUE(LEFT(A43,1))</formula>
    </cfRule>
  </conditionalFormatting>
  <conditionalFormatting sqref="A51:C66">
    <cfRule type="expression" priority="4" dxfId="13" stopIfTrue="1">
      <formula>VALUE(NoDPSchedule)&lt;VALUE(LEFT(A51,2))</formula>
    </cfRule>
  </conditionalFormatting>
  <conditionalFormatting sqref="G13 G27">
    <cfRule type="expression" priority="5" dxfId="13" stopIfTrue="1">
      <formula>G13=0</formula>
    </cfRule>
  </conditionalFormatting>
  <conditionalFormatting sqref="D6">
    <cfRule type="expression" priority="1" dxfId="14" stopIfTrue="1">
      <formula>G7&lt;=TODAY()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Magnaye, Noralyn E.</cp:lastModifiedBy>
  <cp:lastPrinted>2020-01-04T07:51:04Z</cp:lastPrinted>
  <dcterms:created xsi:type="dcterms:W3CDTF">2020-01-04T07:52:59Z</dcterms:created>
  <dcterms:modified xsi:type="dcterms:W3CDTF">2020-08-05T11:38:41Z</dcterms:modified>
  <cp:category/>
  <cp:version/>
  <cp:contentType/>
  <cp:contentStatus/>
</cp:coreProperties>
</file>