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745" tabRatio="787" firstSheet="1" activeTab="5"/>
  </bookViews>
  <sheets>
    <sheet name="SPOT CASH" sheetId="1" r:id="rId1"/>
    <sheet name="20% SPOT BAL BANK" sheetId="2" r:id="rId2"/>
    <sheet name="10-10-6MOS STANDARD" sheetId="3" r:id="rId3"/>
    <sheet name="10-10-6MOS BF" sheetId="4" state="hidden" r:id="rId4"/>
    <sheet name="10-10-36MOS PROMO" sheetId="5" r:id="rId5"/>
    <sheet name="10-5-36MOS PROMO" sheetId="6" r:id="rId6"/>
    <sheet name="STRETCH 20%" sheetId="7" r:id="rId7"/>
    <sheet name="STRETCH 15%" sheetId="8" r:id="rId8"/>
    <sheet name="strecth" sheetId="9" state="hidden" r:id="rId9"/>
  </sheets>
  <externalReferences>
    <externalReference r:id="rId12"/>
  </externalReferences>
  <definedNames>
    <definedName name="ACServiceFee" localSheetId="4">'10-10-36MOS PROMO'!$G$28</definedName>
    <definedName name="ACServiceFee" localSheetId="3">'10-10-6MOS BF'!$G$28</definedName>
    <definedName name="ACServiceFee" localSheetId="2">'10-10-6MOS STANDARD'!$G$28</definedName>
    <definedName name="ACServiceFee" localSheetId="5">'10-5-36MOS PROMO'!$G$28</definedName>
    <definedName name="ACServiceFee" localSheetId="1">'20% SPOT BAL BANK'!$G$28</definedName>
    <definedName name="ACServiceFee" localSheetId="8">'strecth'!$G$28</definedName>
    <definedName name="ACServiceFee" localSheetId="7">'STRETCH 15%'!$G$28</definedName>
    <definedName name="ACServiceFee" localSheetId="6">'STRETCH 20%'!$G$28</definedName>
    <definedName name="ACServiceFee">'SPOT CASH'!$G$28</definedName>
    <definedName name="AllowedDefMonths" localSheetId="4">'10-10-36MOS PROMO'!$G$5</definedName>
    <definedName name="AllowedDefMonths" localSheetId="2">'10-10-6MOS STANDARD'!$G$5</definedName>
    <definedName name="AllowedDefMonths" localSheetId="5">'10-5-36MOS PROMO'!$G$5</definedName>
    <definedName name="AllowedDefMonths" localSheetId="8">'strecth'!$G$5</definedName>
    <definedName name="AllowedDefMonths" localSheetId="7">'STRETCH 15%'!$G$5</definedName>
    <definedName name="AllowedDefMonths" localSheetId="6">'STRETCH 20%'!$G$5</definedName>
    <definedName name="AllowedDefMonths">'10-10-6MOS BF'!$G$5</definedName>
    <definedName name="BookingDiscount" localSheetId="4">'10-10-36MOS PROMO'!$G$16</definedName>
    <definedName name="BookingDiscount" localSheetId="3">'10-10-6MOS BF'!$G$16</definedName>
    <definedName name="BookingDiscount" localSheetId="2">'10-10-6MOS STANDARD'!$G$16</definedName>
    <definedName name="BookingDiscount" localSheetId="5">'10-5-36MOS PROMO'!$G$16</definedName>
    <definedName name="BookingDiscount" localSheetId="1">'20% SPOT BAL BANK'!$G$16</definedName>
    <definedName name="BookingDiscount" localSheetId="8">'strecth'!$G$16</definedName>
    <definedName name="BookingDiscount" localSheetId="7">'STRETCH 15%'!$G$16</definedName>
    <definedName name="BookingDiscount" localSheetId="6">'STRETCH 20%'!$G$16</definedName>
    <definedName name="BookingDiscount">'SPOT CASH'!$G$16</definedName>
    <definedName name="BulkDiscount" localSheetId="4">'10-10-36MOS PROMO'!$G$19</definedName>
    <definedName name="BulkDiscount" localSheetId="3">'10-10-6MOS BF'!$G$19</definedName>
    <definedName name="BulkDiscount" localSheetId="2">'10-10-6MOS STANDARD'!$G$19</definedName>
    <definedName name="BulkDiscount" localSheetId="5">'10-5-36MOS PROMO'!$G$19</definedName>
    <definedName name="BulkDiscount" localSheetId="1">'20% SPOT BAL BANK'!$G$19</definedName>
    <definedName name="BulkDiscount" localSheetId="8">'strecth'!$G$19</definedName>
    <definedName name="BulkDiscount" localSheetId="7">'STRETCH 15%'!$G$19</definedName>
    <definedName name="BulkDiscount" localSheetId="6">'STRETCH 20%'!$G$19</definedName>
    <definedName name="BulkDiscount">'SPOT CASH'!$G$19</definedName>
    <definedName name="CommittedSalesDiscount" localSheetId="4">'10-10-36MOS PROMO'!$G$15</definedName>
    <definedName name="CommittedSalesDiscount" localSheetId="3">'10-10-6MOS BF'!$G$15</definedName>
    <definedName name="CommittedSalesDiscount" localSheetId="2">'10-10-6MOS STANDARD'!$G$15</definedName>
    <definedName name="CommittedSalesDiscount" localSheetId="5">'10-5-36MOS PROMO'!$G$15</definedName>
    <definedName name="CommittedSalesDiscount" localSheetId="1">'20% SPOT BAL BANK'!$G$15</definedName>
    <definedName name="CommittedSalesDiscount" localSheetId="8">'strecth'!$G$15</definedName>
    <definedName name="CommittedSalesDiscount" localSheetId="7">'STRETCH 15%'!$G$15</definedName>
    <definedName name="CommittedSalesDiscount" localSheetId="6">'STRETCH 20%'!$G$15</definedName>
    <definedName name="CommittedSalesDiscount">'SPOT CASH'!$G$15</definedName>
    <definedName name="Discount1Desc" localSheetId="4">'10-10-36MOS PROMO'!$B$21</definedName>
    <definedName name="Discount1Desc" localSheetId="3">'10-10-6MOS BF'!$B$21</definedName>
    <definedName name="Discount1Desc" localSheetId="2">'10-10-6MOS STANDARD'!$B$21</definedName>
    <definedName name="Discount1Desc" localSheetId="5">'10-5-36MOS PROMO'!$B$21</definedName>
    <definedName name="Discount1Desc" localSheetId="1">'20% SPOT BAL BANK'!$B$21</definedName>
    <definedName name="Discount1Desc" localSheetId="8">'strecth'!$B$21</definedName>
    <definedName name="Discount1Desc" localSheetId="7">'STRETCH 15%'!$B$21</definedName>
    <definedName name="Discount1Desc" localSheetId="6">'STRETCH 20%'!$B$21</definedName>
    <definedName name="Discount1Desc">'SPOT CASH'!$B$21</definedName>
    <definedName name="Discount1Value" localSheetId="4">'10-10-36MOS PROMO'!$G$21</definedName>
    <definedName name="Discount1Value" localSheetId="3">'10-10-6MOS BF'!$G$21</definedName>
    <definedName name="Discount1Value" localSheetId="2">'10-10-6MOS STANDARD'!$G$21</definedName>
    <definedName name="Discount1Value" localSheetId="5">'10-5-36MOS PROMO'!$G$21</definedName>
    <definedName name="Discount1Value" localSheetId="1">'20% SPOT BAL BANK'!$G$21</definedName>
    <definedName name="Discount1Value" localSheetId="8">'strecth'!$G$21</definedName>
    <definedName name="Discount1Value" localSheetId="7">'STRETCH 15%'!$G$21</definedName>
    <definedName name="Discount1Value" localSheetId="6">'STRETCH 20%'!$G$21</definedName>
    <definedName name="Discount1Value">'SPOT CASH'!$G$21</definedName>
    <definedName name="Discount2Desc" localSheetId="4">'10-10-36MOS PROMO'!$B$22</definedName>
    <definedName name="Discount2Desc" localSheetId="3">'10-10-6MOS BF'!$B$22</definedName>
    <definedName name="Discount2Desc" localSheetId="2">'10-10-6MOS STANDARD'!$B$22</definedName>
    <definedName name="Discount2Desc" localSheetId="5">'10-5-36MOS PROMO'!$B$22</definedName>
    <definedName name="Discount2Desc" localSheetId="1">'20% SPOT BAL BANK'!$B$22</definedName>
    <definedName name="Discount2Desc" localSheetId="8">'strecth'!$B$22</definedName>
    <definedName name="Discount2Desc" localSheetId="7">'STRETCH 15%'!$B$22</definedName>
    <definedName name="Discount2Desc" localSheetId="6">'STRETCH 20%'!$B$22</definedName>
    <definedName name="Discount2Desc">'SPOT CASH'!$B$22</definedName>
    <definedName name="Discount2Value" localSheetId="4">'10-10-36MOS PROMO'!$G$22</definedName>
    <definedName name="Discount2Value" localSheetId="3">'10-10-6MOS BF'!$G$22</definedName>
    <definedName name="Discount2Value" localSheetId="2">'10-10-6MOS STANDARD'!$G$22</definedName>
    <definedName name="Discount2Value" localSheetId="5">'10-5-36MOS PROMO'!$G$22</definedName>
    <definedName name="Discount2Value" localSheetId="1">'20% SPOT BAL BANK'!$G$22</definedName>
    <definedName name="Discount2Value" localSheetId="8">'strecth'!$G$22</definedName>
    <definedName name="Discount2Value" localSheetId="7">'STRETCH 15%'!$G$22</definedName>
    <definedName name="Discount2Value" localSheetId="6">'STRETCH 20%'!$G$22</definedName>
    <definedName name="Discount2Value">'SPOT CASH'!$G$22</definedName>
    <definedName name="Downpayment" localSheetId="4">'10-10-36MOS PROMO'!$A$33</definedName>
    <definedName name="Downpayment" localSheetId="3">'10-10-6MOS BF'!$A$33</definedName>
    <definedName name="Downpayment" localSheetId="2">'10-10-6MOS STANDARD'!$A$33</definedName>
    <definedName name="Downpayment" localSheetId="5">'10-5-36MOS PROMO'!$A$33</definedName>
    <definedName name="Downpayment" localSheetId="1">'20% SPOT BAL BANK'!$C$33</definedName>
    <definedName name="Downpayment" localSheetId="8">'strecth'!$A$33</definedName>
    <definedName name="Downpayment" localSheetId="7">'STRETCH 15%'!$A$33</definedName>
    <definedName name="Downpayment" localSheetId="6">'STRETCH 20%'!$A$33</definedName>
    <definedName name="Downpayment">'SPOT CASH'!$C$33</definedName>
    <definedName name="DPDate" localSheetId="4">'10-10-36MOS PROMO'!$F$41</definedName>
    <definedName name="DPDate" localSheetId="3">'10-10-6MOS BF'!$F$41</definedName>
    <definedName name="DPDate" localSheetId="2">'10-10-6MOS STANDARD'!$F$41</definedName>
    <definedName name="DPDate" localSheetId="5">'10-5-36MOS PROMO'!$F$41</definedName>
    <definedName name="DPDate" localSheetId="1">'20% SPOT BAL BANK'!$E$32</definedName>
    <definedName name="DPDate" localSheetId="8">'strecth'!$D$40</definedName>
    <definedName name="DPDate" localSheetId="7">'STRETCH 15%'!$D$40</definedName>
    <definedName name="DPDate" localSheetId="6">'STRETCH 20%'!$D$40</definedName>
    <definedName name="DPDate">'SPOT CASH'!$E$32</definedName>
    <definedName name="EmployeeDiscount" localSheetId="4">'10-10-36MOS PROMO'!$G$18</definedName>
    <definedName name="EmployeeDiscount" localSheetId="3">'10-10-6MOS BF'!$G$18</definedName>
    <definedName name="EmployeeDiscount" localSheetId="2">'10-10-6MOS STANDARD'!$G$18</definedName>
    <definedName name="EmployeeDiscount" localSheetId="5">'10-5-36MOS PROMO'!$G$18</definedName>
    <definedName name="EmployeeDiscount" localSheetId="1">'20% SPOT BAL BANK'!$G$18</definedName>
    <definedName name="EmployeeDiscount" localSheetId="8">'strecth'!$G$18</definedName>
    <definedName name="EmployeeDiscount" localSheetId="7">'STRETCH 15%'!$G$18</definedName>
    <definedName name="EmployeeDiscount" localSheetId="6">'STRETCH 20%'!$G$18</definedName>
    <definedName name="EmployeeDiscount">'SPOT CASH'!$G$18</definedName>
    <definedName name="Floor" localSheetId="4">'10-10-36MOS PROMO'!$C$7</definedName>
    <definedName name="Floor" localSheetId="3">'10-10-6MOS BF'!$C$7</definedName>
    <definedName name="Floor" localSheetId="2">'10-10-6MOS STANDARD'!$C$7</definedName>
    <definedName name="Floor" localSheetId="5">'10-5-36MOS PROMO'!$C$7</definedName>
    <definedName name="Floor" localSheetId="1">'20% SPOT BAL BANK'!$C$7</definedName>
    <definedName name="Floor" localSheetId="8">'strecth'!$C$7</definedName>
    <definedName name="Floor" localSheetId="7">'STRETCH 15%'!$C$7</definedName>
    <definedName name="Floor" localSheetId="6">'STRETCH 20%'!$C$7</definedName>
    <definedName name="Floor">'SPOT CASH'!$C$7</definedName>
    <definedName name="FloorArea" localSheetId="4">'10-10-36MOS PROMO'!$D$7</definedName>
    <definedName name="FloorArea" localSheetId="3">'10-10-6MOS BF'!$D$7</definedName>
    <definedName name="FloorArea" localSheetId="2">'10-10-6MOS STANDARD'!$D$7</definedName>
    <definedName name="FloorArea" localSheetId="5">'10-5-36MOS PROMO'!$D$7</definedName>
    <definedName name="FloorArea" localSheetId="1">'20% SPOT BAL BANK'!$D$7</definedName>
    <definedName name="FloorArea" localSheetId="8">'strecth'!$D$7</definedName>
    <definedName name="FloorArea" localSheetId="7">'STRETCH 15%'!$D$7</definedName>
    <definedName name="FloorArea" localSheetId="6">'STRETCH 20%'!$D$7</definedName>
    <definedName name="FloorArea">'SPOT CASH'!$D$7</definedName>
    <definedName name="LumpOCDate" localSheetId="4">'10-10-36MOS PROMO'!$B$24</definedName>
    <definedName name="LumpOCDate" localSheetId="3">'10-10-6MOS BF'!$B$24</definedName>
    <definedName name="LumpOCDate" localSheetId="2">'10-10-6MOS STANDARD'!$B$24</definedName>
    <definedName name="LumpOCDate" localSheetId="5">'10-5-36MOS PROMO'!$B$24</definedName>
    <definedName name="LumpOCDate" localSheetId="1">'20% SPOT BAL BANK'!$B$24</definedName>
    <definedName name="LumpOCDate" localSheetId="8">'strecth'!$B$24</definedName>
    <definedName name="LumpOCDate" localSheetId="7">'STRETCH 15%'!$B$24</definedName>
    <definedName name="LumpOCDate" localSheetId="6">'STRETCH 20%'!$B$24</definedName>
    <definedName name="LumpOCDate">'SPOT CASH'!$B$24</definedName>
    <definedName name="Mode" localSheetId="4">'10-10-36MOS PROMO'!$D$4</definedName>
    <definedName name="Mode" localSheetId="3">'10-10-6MOS BF'!$D$4</definedName>
    <definedName name="Mode" localSheetId="2">'10-10-6MOS STANDARD'!$D$4</definedName>
    <definedName name="Mode" localSheetId="5">'10-5-36MOS PROMO'!$D$4</definedName>
    <definedName name="Mode" localSheetId="1">'20% SPOT BAL BANK'!$D$4</definedName>
    <definedName name="Mode" localSheetId="8">'strecth'!$D$4</definedName>
    <definedName name="Mode" localSheetId="7">'STRETCH 15%'!$D$4</definedName>
    <definedName name="Mode" localSheetId="6">'STRETCH 20%'!$D$4</definedName>
    <definedName name="Mode">'SPOT CASH'!$D$4</definedName>
    <definedName name="Model" localSheetId="4">'10-10-36MOS PROMO'!$F$7</definedName>
    <definedName name="Model" localSheetId="3">'10-10-6MOS BF'!$F$7</definedName>
    <definedName name="Model" localSheetId="2">'10-10-6MOS STANDARD'!$F$7</definedName>
    <definedName name="Model" localSheetId="5">'10-5-36MOS PROMO'!$F$7</definedName>
    <definedName name="Model" localSheetId="1">'20% SPOT BAL BANK'!$F$7</definedName>
    <definedName name="Model" localSheetId="8">'strecth'!$F$7</definedName>
    <definedName name="Model" localSheetId="7">'STRETCH 15%'!$F$7</definedName>
    <definedName name="Model" localSheetId="6">'STRETCH 20%'!$F$7</definedName>
    <definedName name="Model">'SPOT CASH'!$F$7</definedName>
    <definedName name="NoDPSchedule" localSheetId="4">'10-10-36MOS PROMO'!$A$47</definedName>
    <definedName name="NoDPSchedule" localSheetId="3">'10-10-6MOS BF'!$A$47</definedName>
    <definedName name="NoDPSchedule" localSheetId="2">'10-10-6MOS STANDARD'!$A$47</definedName>
    <definedName name="NoDPSchedule" localSheetId="5">'10-5-36MOS PROMO'!$A$47</definedName>
    <definedName name="NoDPSchedule" localSheetId="1">'20% SPOT BAL BANK'!$B$33</definedName>
    <definedName name="NoDPSchedule" localSheetId="8">'strecth'!$A$39</definedName>
    <definedName name="NoDPSchedule" localSheetId="7">'STRETCH 15%'!$A$39</definedName>
    <definedName name="NoDPSchedule" localSheetId="6">'STRETCH 20%'!$A$39</definedName>
    <definedName name="NoDPSchedule">'SPOT CASH'!$B$33</definedName>
    <definedName name="Note1" localSheetId="4">'10-10-36MOS PROMO'!$A$91</definedName>
    <definedName name="Note1" localSheetId="3">'10-10-6MOS BF'!$A$91</definedName>
    <definedName name="Note1" localSheetId="2">'10-10-6MOS STANDARD'!$A$91</definedName>
    <definedName name="Note1" localSheetId="5">'10-5-36MOS PROMO'!$A$91</definedName>
    <definedName name="Note1" localSheetId="1">'20% SPOT BAL BANK'!$A$35</definedName>
    <definedName name="Note1" localSheetId="8">'strecth'!$A$83</definedName>
    <definedName name="Note1" localSheetId="7">'STRETCH 15%'!$A$83</definedName>
    <definedName name="Note1" localSheetId="6">'STRETCH 20%'!$A$83</definedName>
    <definedName name="Note1">'SPOT CASH'!$A$35</definedName>
    <definedName name="OtherBSDiscount" localSheetId="4">'10-10-36MOS PROMO'!$G$17</definedName>
    <definedName name="OtherBSDiscount" localSheetId="3">'10-10-6MOS BF'!$G$17</definedName>
    <definedName name="OtherBSDiscount" localSheetId="2">'10-10-6MOS STANDARD'!$G$17</definedName>
    <definedName name="OtherBSDiscount" localSheetId="5">'10-5-36MOS PROMO'!$G$17</definedName>
    <definedName name="OtherBSDiscount" localSheetId="1">'20% SPOT BAL BANK'!$G$17</definedName>
    <definedName name="OtherBSDiscount" localSheetId="8">'strecth'!$G$17</definedName>
    <definedName name="OtherBSDiscount" localSheetId="7">'STRETCH 15%'!$G$17</definedName>
    <definedName name="OtherBSDiscount" localSheetId="6">'STRETCH 20%'!$G$17</definedName>
    <definedName name="OtherBSDiscount">'SPOT CASH'!$G$17</definedName>
    <definedName name="OtherChargesPercentage" localSheetId="4">'10-10-36MOS PROMO'!$A$26</definedName>
    <definedName name="OtherChargesPercentage" localSheetId="3">'10-10-6MOS BF'!$A$26</definedName>
    <definedName name="OtherChargesPercentage" localSheetId="2">'10-10-6MOS STANDARD'!$A$26</definedName>
    <definedName name="OtherChargesPercentage" localSheetId="5">'10-5-36MOS PROMO'!$A$26</definedName>
    <definedName name="OtherChargesPercentage" localSheetId="1">'20% SPOT BAL BANK'!$A$26</definedName>
    <definedName name="OtherChargesPercentage" localSheetId="8">'strecth'!$A$26</definedName>
    <definedName name="OtherChargesPercentage" localSheetId="7">'STRETCH 15%'!$A$26</definedName>
    <definedName name="OtherChargesPercentage" localSheetId="6">'STRETCH 20%'!$A$26</definedName>
    <definedName name="OtherChargesPercentage">'SPOT CASH'!$A$26</definedName>
    <definedName name="OtherDiscount" localSheetId="4">'10-10-36MOS PROMO'!$G$20</definedName>
    <definedName name="OtherDiscount" localSheetId="3">'10-10-6MOS BF'!$G$20</definedName>
    <definedName name="OtherDiscount" localSheetId="2">'10-10-6MOS STANDARD'!$G$20</definedName>
    <definedName name="OtherDiscount" localSheetId="5">'10-5-36MOS PROMO'!$G$20</definedName>
    <definedName name="OtherDiscount" localSheetId="1">'20% SPOT BAL BANK'!$G$20</definedName>
    <definedName name="OtherDiscount" localSheetId="8">'strecth'!$G$20</definedName>
    <definedName name="OtherDiscount" localSheetId="7">'STRETCH 15%'!$G$20</definedName>
    <definedName name="OtherDiscount" localSheetId="6">'STRETCH 20%'!$G$20</definedName>
    <definedName name="OtherDiscount">'SPOT CASH'!$G$20</definedName>
    <definedName name="OtherRSDiscount" localSheetId="4">'10-10-36MOS PROMO'!$G$14</definedName>
    <definedName name="OtherRSDiscount" localSheetId="3">'10-10-6MOS BF'!$G$14</definedName>
    <definedName name="OtherRSDiscount" localSheetId="2">'10-10-6MOS STANDARD'!$G$14</definedName>
    <definedName name="OtherRSDiscount" localSheetId="5">'10-5-36MOS PROMO'!$G$14</definedName>
    <definedName name="OtherRSDiscount" localSheetId="1">'20% SPOT BAL BANK'!$G$14</definedName>
    <definedName name="OtherRSDiscount" localSheetId="8">'strecth'!$G$14</definedName>
    <definedName name="OtherRSDiscount" localSheetId="7">'STRETCH 15%'!$G$14</definedName>
    <definedName name="OtherRSDiscount" localSheetId="6">'STRETCH 20%'!$G$14</definedName>
    <definedName name="OtherRSDiscount">'SPOT CASH'!$G$14</definedName>
    <definedName name="Payee" localSheetId="4">'10-10-36MOS PROMO'!$A$100</definedName>
    <definedName name="Payee" localSheetId="3">'10-10-6MOS BF'!$A$100</definedName>
    <definedName name="Payee" localSheetId="2">'10-10-6MOS STANDARD'!$A$100</definedName>
    <definedName name="Payee" localSheetId="5">'10-5-36MOS PROMO'!$A$100</definedName>
    <definedName name="Payee" localSheetId="1">'20% SPOT BAL BANK'!$A$44</definedName>
    <definedName name="Payee" localSheetId="8">'strecth'!$A$92</definedName>
    <definedName name="Payee" localSheetId="7">'STRETCH 15%'!$A$92</definedName>
    <definedName name="Payee" localSheetId="6">'STRETCH 20%'!$A$92</definedName>
    <definedName name="Payee">'SPOT CASH'!$A$44</definedName>
    <definedName name="PercentageDiscount" localSheetId="4">'10-10-36MOS PROMO'!$A$12</definedName>
    <definedName name="PercentageDiscount" localSheetId="3">'10-10-6MOS BF'!$A$12</definedName>
    <definedName name="PercentageDiscount" localSheetId="2">'10-10-6MOS STANDARD'!$A$12</definedName>
    <definedName name="PercentageDiscount" localSheetId="5">'10-5-36MOS PROMO'!$A$12</definedName>
    <definedName name="PercentageDiscount" localSheetId="1">'20% SPOT BAL BANK'!$A$12</definedName>
    <definedName name="PercentageDiscount" localSheetId="8">'strecth'!$A$12</definedName>
    <definedName name="PercentageDiscount" localSheetId="7">'STRETCH 15%'!$A$12</definedName>
    <definedName name="PercentageDiscount" localSheetId="6">'STRETCH 20%'!$A$12</definedName>
    <definedName name="PercentageDiscount">'SPOT CASH'!$A$12</definedName>
    <definedName name="ProjectDateCompletion" localSheetId="1">'20% SPOT BAL BANK'!$G$5</definedName>
    <definedName name="ProjectDateCompletion" localSheetId="7">#REF!</definedName>
    <definedName name="ProjectDateCompletion" localSheetId="6">#REF!</definedName>
    <definedName name="ProjectDateCompletion">'SPOT CASH'!$G$5</definedName>
    <definedName name="ProjectName" localSheetId="4">'10-10-36MOS PROMO'!$A$3</definedName>
    <definedName name="ProjectName" localSheetId="3">'10-10-6MOS BF'!$A$3</definedName>
    <definedName name="ProjectName" localSheetId="2">'10-10-6MOS STANDARD'!$A$3</definedName>
    <definedName name="ProjectName" localSheetId="5">'10-5-36MOS PROMO'!$A$3</definedName>
    <definedName name="ProjectName" localSheetId="1">'20% SPOT BAL BANK'!$A$3</definedName>
    <definedName name="ProjectName" localSheetId="8">'strecth'!$A$3</definedName>
    <definedName name="ProjectName" localSheetId="7">'STRETCH 15%'!$A$3</definedName>
    <definedName name="ProjectName" localSheetId="6">'STRETCH 20%'!$A$3</definedName>
    <definedName name="ProjectName">'SPOT CASH'!$A$3</definedName>
    <definedName name="ReservationDate" localSheetId="4">'10-10-36MOS PROMO'!$F$36</definedName>
    <definedName name="ReservationDate" localSheetId="3">'10-10-6MOS BF'!$F$36</definedName>
    <definedName name="ReservationDate" localSheetId="2">'10-10-6MOS STANDARD'!$F$36</definedName>
    <definedName name="ReservationDate" localSheetId="5">'10-5-36MOS PROMO'!$F$36</definedName>
    <definedName name="ReservationDate" localSheetId="1">'20% SPOT BAL BANK'!$E$31</definedName>
    <definedName name="ReservationDate" localSheetId="8">'strecth'!$F$36</definedName>
    <definedName name="ReservationDate" localSheetId="7">'STRETCH 15%'!$F$36</definedName>
    <definedName name="ReservationDate" localSheetId="6">'STRETCH 20%'!$F$36</definedName>
    <definedName name="ReservationDate">'SPOT CASH'!$E$31</definedName>
    <definedName name="ReservationDiscount" localSheetId="4">'10-10-36MOS PROMO'!$G$13</definedName>
    <definedName name="ReservationDiscount" localSheetId="3">'10-10-6MOS BF'!$G$13</definedName>
    <definedName name="ReservationDiscount" localSheetId="2">'10-10-6MOS STANDARD'!$G$13</definedName>
    <definedName name="ReservationDiscount" localSheetId="5">'10-5-36MOS PROMO'!$G$13</definedName>
    <definedName name="ReservationDiscount" localSheetId="1">'20% SPOT BAL BANK'!$G$13</definedName>
    <definedName name="ReservationDiscount" localSheetId="8">'strecth'!$G$13</definedName>
    <definedName name="ReservationDiscount" localSheetId="7">'STRETCH 15%'!$G$13</definedName>
    <definedName name="ReservationDiscount" localSheetId="6">'STRETCH 20%'!$G$13</definedName>
    <definedName name="ReservationDiscount">'SPOT CASH'!$G$13</definedName>
    <definedName name="ReservationFee" localSheetId="4">'10-10-36MOS PROMO'!$G$36</definedName>
    <definedName name="ReservationFee" localSheetId="3">'10-10-6MOS BF'!$G$36</definedName>
    <definedName name="ReservationFee" localSheetId="2">'10-10-6MOS STANDARD'!$G$36</definedName>
    <definedName name="ReservationFee" localSheetId="5">'10-5-36MOS PROMO'!$G$36</definedName>
    <definedName name="ReservationFee" localSheetId="1">'20% SPOT BAL BANK'!$G$31</definedName>
    <definedName name="ReservationFee" localSheetId="8">'strecth'!$G$36</definedName>
    <definedName name="ReservationFee" localSheetId="7">'STRETCH 15%'!$G$36</definedName>
    <definedName name="ReservationFee" localSheetId="6">'STRETCH 20%'!$G$36</definedName>
    <definedName name="ReservationFee">'SPOT CASH'!$G$31</definedName>
    <definedName name="SellingPrice" localSheetId="4">'10-10-36MOS PROMO'!$G$10</definedName>
    <definedName name="SellingPrice" localSheetId="3">'10-10-6MOS BF'!$G$10</definedName>
    <definedName name="SellingPrice" localSheetId="2">'10-10-6MOS STANDARD'!$G$10</definedName>
    <definedName name="SellingPrice" localSheetId="5">'10-5-36MOS PROMO'!$G$10</definedName>
    <definedName name="SellingPrice" localSheetId="1">'20% SPOT BAL BANK'!$G$10</definedName>
    <definedName name="SellingPrice" localSheetId="8">'strecth'!$G$10</definedName>
    <definedName name="SellingPrice" localSheetId="7">'STRETCH 15%'!$G$10</definedName>
    <definedName name="SellingPrice" localSheetId="6">'STRETCH 20%'!$G$10</definedName>
    <definedName name="SellingPrice">'SPOT CASH'!$G$10</definedName>
    <definedName name="ServiceFee" localSheetId="4">'10-10-36MOS PROMO'!$G$27</definedName>
    <definedName name="ServiceFee" localSheetId="3">'10-10-6MOS BF'!$G$27</definedName>
    <definedName name="ServiceFee" localSheetId="2">'10-10-6MOS STANDARD'!$G$27</definedName>
    <definedName name="ServiceFee" localSheetId="5">'10-5-36MOS PROMO'!$G$27</definedName>
    <definedName name="ServiceFee" localSheetId="1">'20% SPOT BAL BANK'!$G$27</definedName>
    <definedName name="ServiceFee" localSheetId="8">'strecth'!$G$27</definedName>
    <definedName name="ServiceFee" localSheetId="7">'STRETCH 15%'!$G$27</definedName>
    <definedName name="ServiceFee" localSheetId="6">'STRETCH 20%'!$G$27</definedName>
    <definedName name="ServiceFee">'SPOT CASH'!$G$27</definedName>
    <definedName name="SpotDownpayment" localSheetId="4">'10-10-36MOS PROMO'!$A$39</definedName>
    <definedName name="SpotDownpayment" localSheetId="3">'10-10-6MOS BF'!$A$39</definedName>
    <definedName name="SpotDownpayment" localSheetId="2">'10-10-6MOS STANDARD'!$A$39</definedName>
    <definedName name="SpotDownpayment" localSheetId="5">'10-5-36MOS PROMO'!$A$39</definedName>
    <definedName name="SpotDownpayment" localSheetId="1">'20% SPOT BAL BANK'!$A$33</definedName>
    <definedName name="SpotDownpayment" localSheetId="8">'strecth'!$A$38</definedName>
    <definedName name="SpotDownpayment" localSheetId="7">'STRETCH 15%'!$A$38</definedName>
    <definedName name="SpotDownpayment" localSheetId="6">'STRETCH 20%'!$A$38</definedName>
    <definedName name="SpotDownpayment">'SPOT CASH'!$A$33</definedName>
    <definedName name="StandardDiscount" localSheetId="4">'10-10-36MOS PROMO'!$G$12</definedName>
    <definedName name="StandardDiscount" localSheetId="3">'10-10-6MOS BF'!$G$12</definedName>
    <definedName name="StandardDiscount" localSheetId="2">'10-10-6MOS STANDARD'!$G$12</definedName>
    <definedName name="StandardDiscount" localSheetId="5">'10-5-36MOS PROMO'!$G$12</definedName>
    <definedName name="StandardDiscount" localSheetId="1">'20% SPOT BAL BANK'!$G$12</definedName>
    <definedName name="StandardDiscount" localSheetId="8">'strecth'!$G$12</definedName>
    <definedName name="StandardDiscount" localSheetId="7">'STRETCH 15%'!$G$12</definedName>
    <definedName name="StandardDiscount" localSheetId="6">'STRETCH 20%'!$G$12</definedName>
    <definedName name="StandardDiscount">'SPOT CASH'!$G$12</definedName>
    <definedName name="TotalOtherCharges" localSheetId="4">'10-10-36MOS PROMO'!$G$26</definedName>
    <definedName name="TotalOtherCharges" localSheetId="3">'10-10-6MOS BF'!$G$26</definedName>
    <definedName name="TotalOtherCharges" localSheetId="2">'10-10-6MOS STANDARD'!$G$26</definedName>
    <definedName name="TotalOtherCharges" localSheetId="5">'10-5-36MOS PROMO'!$G$26</definedName>
    <definedName name="TotalOtherCharges" localSheetId="1">'20% SPOT BAL BANK'!$G$26</definedName>
    <definedName name="TotalOtherCharges" localSheetId="8">'strecth'!$G$26</definedName>
    <definedName name="TotalOtherCharges" localSheetId="7">'STRETCH 15%'!$G$26</definedName>
    <definedName name="TotalOtherCharges" localSheetId="6">'STRETCH 20%'!$G$26</definedName>
    <definedName name="TotalOtherCharges">'SPOT CASH'!$G$26</definedName>
    <definedName name="Tower" localSheetId="4">'10-10-36MOS PROMO'!$A$7</definedName>
    <definedName name="Tower" localSheetId="3">'10-10-6MOS BF'!$A$7</definedName>
    <definedName name="Tower" localSheetId="2">'10-10-6MOS STANDARD'!$A$7</definedName>
    <definedName name="Tower" localSheetId="5">'10-5-36MOS PROMO'!$A$7</definedName>
    <definedName name="Tower" localSheetId="1">'20% SPOT BAL BANK'!$A$7</definedName>
    <definedName name="Tower" localSheetId="8">'strecth'!$A$7</definedName>
    <definedName name="Tower" localSheetId="7">'STRETCH 15%'!$A$7</definedName>
    <definedName name="Tower" localSheetId="6">'STRETCH 20%'!$A$7</definedName>
    <definedName name="Tower">'SPOT CASH'!$A$7</definedName>
    <definedName name="Unit" localSheetId="4">'10-10-36MOS PROMO'!$B$7</definedName>
    <definedName name="Unit" localSheetId="3">'10-10-6MOS BF'!$B$7</definedName>
    <definedName name="Unit" localSheetId="2">'10-10-6MOS STANDARD'!$B$7</definedName>
    <definedName name="Unit" localSheetId="5">'10-5-36MOS PROMO'!$B$7</definedName>
    <definedName name="Unit" localSheetId="1">'20% SPOT BAL BANK'!$B$7</definedName>
    <definedName name="Unit" localSheetId="8">'strecth'!$B$7</definedName>
    <definedName name="Unit" localSheetId="7">'STRETCH 15%'!$B$7</definedName>
    <definedName name="Unit" localSheetId="6">'STRETCH 20%'!$B$7</definedName>
    <definedName name="Unit">'SPOT CASH'!$B$7</definedName>
  </definedNames>
  <calcPr fullCalcOnLoad="1"/>
</workbook>
</file>

<file path=xl/sharedStrings.xml><?xml version="1.0" encoding="utf-8"?>
<sst xmlns="http://schemas.openxmlformats.org/spreadsheetml/2006/main" count="822" uniqueCount="113">
  <si>
    <t>SPOT CASH</t>
  </si>
  <si>
    <t>AVIDA LAND CORP.</t>
  </si>
  <si>
    <t>CUSTOMER SERVICE UNIT</t>
  </si>
  <si>
    <t>Tower</t>
  </si>
  <si>
    <t>Unit</t>
  </si>
  <si>
    <t>Floor</t>
  </si>
  <si>
    <t>Floor Area</t>
  </si>
  <si>
    <t>Model</t>
  </si>
  <si>
    <t>STUDIO</t>
  </si>
  <si>
    <t>SELLING PRICE</t>
  </si>
  <si>
    <t>P</t>
  </si>
  <si>
    <t>Less:</t>
  </si>
  <si>
    <t>VAT(if applicable)</t>
  </si>
  <si>
    <t>Reservation Discount</t>
  </si>
  <si>
    <t>Other RS Discount</t>
  </si>
  <si>
    <t>Commited Sales Discount</t>
  </si>
  <si>
    <t>Booking Sales Discount</t>
  </si>
  <si>
    <t>Other BS Discount</t>
  </si>
  <si>
    <t>Employee Discount</t>
  </si>
  <si>
    <t>Bulk Discount</t>
  </si>
  <si>
    <t>Other Discounts</t>
  </si>
  <si>
    <t>Discount 1</t>
  </si>
  <si>
    <t>Discount 2</t>
  </si>
  <si>
    <t>NET SELLING PRICE</t>
  </si>
  <si>
    <t>Add:</t>
  </si>
  <si>
    <t>Other Charges</t>
  </si>
  <si>
    <t>Service Fee</t>
  </si>
  <si>
    <t>AC Service Fee</t>
  </si>
  <si>
    <t>TOTAL RECEIVABLE</t>
  </si>
  <si>
    <t>Reservation Fee</t>
  </si>
  <si>
    <t>BALANCE DUE AND PAYABLE:</t>
  </si>
  <si>
    <t>NOTE:</t>
  </si>
  <si>
    <t xml:space="preserve">      Purchaser as mandated in the CTS &amp; DAS.</t>
  </si>
  <si>
    <t xml:space="preserve">2.   Discounts are conditioned upon the Buyer’s  timely compliance with all his obligations, including </t>
  </si>
  <si>
    <t xml:space="preserve">      payments and transmittal of required documents.</t>
  </si>
  <si>
    <t xml:space="preserve">3.   Delay in any payment is an event of default entitling the Seller to exercise remedial options, which include collection of </t>
  </si>
  <si>
    <t xml:space="preserve">      penalty  at the rate of two percent (2%) of the unpaid amount for every month (or a fraction thereof) of delay as </t>
  </si>
  <si>
    <t xml:space="preserve">      specified under Sec 4(ii) of the RA and Sec 4.2 of the CTS</t>
  </si>
  <si>
    <t>4.   For Bank Financing Program, Buyer is required to issue a guarantee check covering the lump-sum payment.  Upon</t>
  </si>
  <si>
    <t xml:space="preserve">      Seller’s receipt of the bank guarantee, the relevant guarantee check(s) covered thereby shall be returned to the Buyer.</t>
  </si>
  <si>
    <t>SELLING PRICE AFTER DISCOUNTS</t>
  </si>
  <si>
    <t>DOWNPAYMENT</t>
  </si>
  <si>
    <t>Total Other Charges &amp; Fees</t>
  </si>
  <si>
    <t>TOTAL REQUIRED DOWNPAYMENT</t>
  </si>
  <si>
    <t>SCHEDULE OF DOWNPAYMENT AND OTHERS CHARGES</t>
  </si>
  <si>
    <t>Total Spot DP and Other Charges payable on or before:</t>
  </si>
  <si>
    <t>Months Schedule</t>
  </si>
  <si>
    <t>Due Date</t>
  </si>
  <si>
    <t>Monthly Payment</t>
  </si>
  <si>
    <t>Total Monthly Payment</t>
  </si>
  <si>
    <t>1st Downpayment due on</t>
  </si>
  <si>
    <t>2nd Downpayment due on</t>
  </si>
  <si>
    <t>3rd Downpayment due on</t>
  </si>
  <si>
    <t>4th Downpayment due on</t>
  </si>
  <si>
    <t>5th Downpayment due on</t>
  </si>
  <si>
    <t>6th Downpayment due on</t>
  </si>
  <si>
    <t>7th Downpayment due on</t>
  </si>
  <si>
    <t>8th Downpayment due on</t>
  </si>
  <si>
    <t>9th Downpayment due on</t>
  </si>
  <si>
    <t>10th Downpayment due on</t>
  </si>
  <si>
    <t>11th Downpayment due on</t>
  </si>
  <si>
    <t>12th Downpayment due on</t>
  </si>
  <si>
    <t>13th Downpayment due on</t>
  </si>
  <si>
    <t>14th Downpayment due on</t>
  </si>
  <si>
    <t>15th Downpayment due on</t>
  </si>
  <si>
    <t>16th Downpayment due on</t>
  </si>
  <si>
    <t>17th Downpayment due on</t>
  </si>
  <si>
    <t>18th Downpayment due on</t>
  </si>
  <si>
    <t>19th Downpayment due on</t>
  </si>
  <si>
    <t>20th Downpayment due on</t>
  </si>
  <si>
    <t>21st Downpayment due on</t>
  </si>
  <si>
    <t>22nd Downpayment due on</t>
  </si>
  <si>
    <t>23rd Downpayment due on</t>
  </si>
  <si>
    <t>24th Downpayment due on</t>
  </si>
  <si>
    <t>25th Downpayment due on</t>
  </si>
  <si>
    <t>26th Downpayment due on</t>
  </si>
  <si>
    <t>27th Downpayment due on</t>
  </si>
  <si>
    <t>28th Downpayment due on</t>
  </si>
  <si>
    <t>29th Downpayment due on</t>
  </si>
  <si>
    <t>30th Downpayment due on</t>
  </si>
  <si>
    <t>31st Downpayment due on</t>
  </si>
  <si>
    <t>32nd Downpayment due on</t>
  </si>
  <si>
    <t>33rd Downpayment due on</t>
  </si>
  <si>
    <t>34th Downpayment due on</t>
  </si>
  <si>
    <t>35th Downpayment due on</t>
  </si>
  <si>
    <t>36th Downpayment due on</t>
  </si>
  <si>
    <t>PAYMENT SCHEDULE: BALANCE</t>
  </si>
  <si>
    <t>Bank Guarantee must be submitted on or before</t>
  </si>
  <si>
    <t>DUE AND PAYABLE ON</t>
  </si>
  <si>
    <t>(Loanable from a Financing Institution)</t>
  </si>
  <si>
    <t>AVIDA TOWERS ONE UNION PLACE</t>
  </si>
  <si>
    <t>1.   In the event of an increase in Other Charges, AYALA LAND INC. has the right to charge the</t>
  </si>
  <si>
    <t>5.   All payments covering the due dates and amounts above should be made payable to AYALA LAND INC</t>
  </si>
  <si>
    <t>Must be book by May 20, 2020</t>
  </si>
  <si>
    <t>1.   In the event of an increase in Other Charges, ALI has the right to charge the</t>
  </si>
  <si>
    <t>5.   All payments covering the due dates and amounts above should be made payable to ALI.</t>
  </si>
  <si>
    <t>Prepared By:</t>
  </si>
  <si>
    <t>Noted By:</t>
  </si>
  <si>
    <t>Signature Over Printed Name</t>
  </si>
  <si>
    <t>Customer Service Staff</t>
  </si>
  <si>
    <t>Customer Service Supervisor / Team Leader</t>
  </si>
  <si>
    <t>Conforme:</t>
  </si>
  <si>
    <t>Purchaser</t>
  </si>
  <si>
    <t>Local Buyer Discount</t>
  </si>
  <si>
    <t>5.   All payments covering the due dates and amounts above should be made payable to AYALA LAND INC.</t>
  </si>
  <si>
    <t>Committed Sales Discount</t>
  </si>
  <si>
    <t>Total Downpayment &amp; Other Charges payable on or before:</t>
  </si>
  <si>
    <t>SOA</t>
  </si>
  <si>
    <t>VERIFIER</t>
  </si>
  <si>
    <t>Red Promo Discount</t>
  </si>
  <si>
    <t>Red Promo Discounts</t>
  </si>
  <si>
    <t>5% Discount on 10% SFDP</t>
  </si>
  <si>
    <t>DOCS MUST BE SUBMITTED 20 DAYS FROM RS DATE</t>
  </si>
</sst>
</file>

<file path=xl/styles.xml><?xml version="1.0" encoding="utf-8"?>
<styleSheet xmlns="http://schemas.openxmlformats.org/spreadsheetml/2006/main">
  <numFmts count="35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* #,##0_);_(* \(#,##0\);_(* &quot;-&quot;_);_(@_)"/>
    <numFmt numFmtId="170" formatCode="_(&quot;Php&quot;* #,##0.00_);_(&quot;Php&quot;* \(#,##0.00\);_(&quot;Ph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;;;"/>
    <numFmt numFmtId="179" formatCode="[$-3409]dd\-mmm\-yy;@"/>
    <numFmt numFmtId="180" formatCode="_(* #,##0.000000000_);_(* \(#,##0.000000000\);_(* &quot;-&quot;??_);_(@_)"/>
    <numFmt numFmtId="181" formatCode="_(\P\ #,##0.00_);_(\P\ \(#,##0.00\);_(\P\ &quot;-&quot;??_);_(@_)"/>
    <numFmt numFmtId="182" formatCode="_(\P* #,##0_);_(\P* \(#,##0\);_(\P* &quot;-&quot;_);_(@_)"/>
    <numFmt numFmtId="183" formatCode="[$-409]dd\-mmm\-yy;@"/>
    <numFmt numFmtId="184" formatCode="_(\P* #,##0.00_);_(\P* \(#,##0.00\);_(\P* &quot;-&quot;??_);_(@_)"/>
    <numFmt numFmtId="185" formatCode="_(* #,##0.0000_);_(* \(#,##0.0000\);_(* &quot;-&quot;??_);_(@_)"/>
    <numFmt numFmtId="186" formatCode="_(\P\ * #,##0.00_);_(\P\ * \(#,##0.00\);_(\P\ 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7">
    <font>
      <sz val="10"/>
      <color indexed="8"/>
      <name val="Courier New"/>
      <family val="0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20"/>
      <color indexed="8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178" fontId="1" fillId="0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171" fontId="1" fillId="0" borderId="0" xfId="0" applyNumberFormat="1" applyFont="1" applyFill="1" applyBorder="1" applyAlignment="1" applyProtection="1">
      <alignment horizontal="right"/>
      <protection/>
    </xf>
    <xf numFmtId="171" fontId="1" fillId="0" borderId="0" xfId="0" applyNumberFormat="1" applyFont="1" applyFill="1" applyBorder="1" applyAlignment="1" applyProtection="1">
      <alignment/>
      <protection/>
    </xf>
    <xf numFmtId="171" fontId="4" fillId="0" borderId="0" xfId="0" applyNumberFormat="1" applyFont="1" applyFill="1" applyBorder="1" applyAlignment="1" applyProtection="1">
      <alignment/>
      <protection/>
    </xf>
    <xf numFmtId="178" fontId="1" fillId="33" borderId="0" xfId="0" applyNumberFormat="1" applyFont="1" applyFill="1" applyBorder="1" applyAlignment="1" applyProtection="1">
      <alignment/>
      <protection/>
    </xf>
    <xf numFmtId="171" fontId="4" fillId="33" borderId="14" xfId="0" applyNumberFormat="1" applyFont="1" applyFill="1" applyBorder="1" applyAlignment="1" applyProtection="1">
      <alignment/>
      <protection/>
    </xf>
    <xf numFmtId="179" fontId="1" fillId="0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/>
      <protection hidden="1"/>
    </xf>
    <xf numFmtId="178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71" fontId="1" fillId="0" borderId="0" xfId="0" applyNumberFormat="1" applyFont="1" applyAlignment="1">
      <alignment horizontal="right"/>
    </xf>
    <xf numFmtId="178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8" fontId="1" fillId="33" borderId="0" xfId="0" applyNumberFormat="1" applyFont="1" applyFill="1" applyAlignment="1">
      <alignment/>
    </xf>
    <xf numFmtId="171" fontId="4" fillId="33" borderId="14" xfId="0" applyNumberFormat="1" applyFont="1" applyFill="1" applyBorder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179" fontId="1" fillId="0" borderId="0" xfId="0" applyNumberFormat="1" applyFont="1" applyAlignment="1">
      <alignment horizontal="center"/>
    </xf>
    <xf numFmtId="179" fontId="1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180" fontId="1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182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9" fontId="5" fillId="0" borderId="0" xfId="0" applyNumberFormat="1" applyFont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/>
    </xf>
    <xf numFmtId="171" fontId="1" fillId="0" borderId="0" xfId="0" applyNumberFormat="1" applyFont="1" applyAlignment="1">
      <alignment horizontal="center"/>
    </xf>
    <xf numFmtId="183" fontId="1" fillId="0" borderId="0" xfId="0" applyNumberFormat="1" applyFont="1" applyAlignment="1">
      <alignment horizontal="center"/>
    </xf>
    <xf numFmtId="184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78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2" fontId="1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34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171" fontId="4" fillId="34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178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/>
      <protection/>
    </xf>
    <xf numFmtId="14" fontId="10" fillId="0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171" fontId="1" fillId="0" borderId="0" xfId="0" applyNumberFormat="1" applyFont="1" applyFill="1" applyBorder="1" applyAlignment="1" applyProtection="1">
      <alignment horizontal="right"/>
      <protection/>
    </xf>
    <xf numFmtId="178" fontId="1" fillId="0" borderId="0" xfId="0" applyNumberFormat="1" applyFont="1" applyFill="1" applyBorder="1" applyAlignment="1" applyProtection="1">
      <alignment/>
      <protection/>
    </xf>
    <xf numFmtId="171" fontId="1" fillId="0" borderId="0" xfId="0" applyNumberFormat="1" applyFont="1" applyFill="1" applyBorder="1" applyAlignment="1" applyProtection="1">
      <alignment/>
      <protection/>
    </xf>
    <xf numFmtId="171" fontId="4" fillId="0" borderId="0" xfId="0" applyNumberFormat="1" applyFont="1" applyFill="1" applyBorder="1" applyAlignment="1" applyProtection="1">
      <alignment/>
      <protection/>
    </xf>
    <xf numFmtId="178" fontId="1" fillId="33" borderId="0" xfId="0" applyNumberFormat="1" applyFont="1" applyFill="1" applyBorder="1" applyAlignment="1" applyProtection="1">
      <alignment/>
      <protection/>
    </xf>
    <xf numFmtId="171" fontId="4" fillId="33" borderId="1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78" fontId="4" fillId="0" borderId="0" xfId="0" applyNumberFormat="1" applyFont="1" applyFill="1" applyBorder="1" applyAlignment="1" applyProtection="1">
      <alignment/>
      <protection/>
    </xf>
    <xf numFmtId="185" fontId="1" fillId="0" borderId="0" xfId="0" applyNumberFormat="1" applyFont="1" applyFill="1" applyBorder="1" applyAlignment="1" applyProtection="1">
      <alignment/>
      <protection/>
    </xf>
    <xf numFmtId="179" fontId="1" fillId="0" borderId="0" xfId="0" applyNumberFormat="1" applyFont="1" applyFill="1" applyBorder="1" applyAlignment="1" applyProtection="1">
      <alignment horizontal="center"/>
      <protection/>
    </xf>
    <xf numFmtId="179" fontId="1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9" fontId="5" fillId="0" borderId="0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center" vertical="center" wrapText="1"/>
      <protection/>
    </xf>
    <xf numFmtId="179" fontId="1" fillId="0" borderId="0" xfId="0" applyNumberFormat="1" applyFont="1" applyFill="1" applyBorder="1" applyAlignment="1" applyProtection="1">
      <alignment horizontal="center" vertical="center"/>
      <protection/>
    </xf>
    <xf numFmtId="171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182" fontId="4" fillId="0" borderId="0" xfId="0" applyNumberFormat="1" applyFont="1" applyFill="1" applyBorder="1" applyAlignment="1" applyProtection="1">
      <alignment/>
      <protection/>
    </xf>
    <xf numFmtId="183" fontId="1" fillId="0" borderId="0" xfId="0" applyNumberFormat="1" applyFont="1" applyFill="1" applyBorder="1" applyAlignment="1" applyProtection="1">
      <alignment horizontal="center"/>
      <protection/>
    </xf>
    <xf numFmtId="186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0" xfId="55" applyNumberFormat="1" applyFont="1" applyFill="1" applyBorder="1" applyAlignment="1" applyProtection="1">
      <alignment/>
      <protection/>
    </xf>
    <xf numFmtId="0" fontId="1" fillId="0" borderId="0" xfId="55" applyNumberFormat="1" applyFont="1" applyFill="1" applyBorder="1" applyAlignment="1" applyProtection="1">
      <alignment horizontal="left"/>
      <protection/>
    </xf>
    <xf numFmtId="0" fontId="4" fillId="0" borderId="0" xfId="55" applyNumberFormat="1" applyFont="1" applyFill="1" applyBorder="1" applyAlignment="1" applyProtection="1">
      <alignment horizontal="right"/>
      <protection/>
    </xf>
    <xf numFmtId="171" fontId="1" fillId="0" borderId="0" xfId="55" applyNumberFormat="1" applyFont="1" applyFill="1" applyBorder="1" applyAlignment="1" applyProtection="1">
      <alignment horizontal="right"/>
      <protection/>
    </xf>
    <xf numFmtId="178" fontId="1" fillId="0" borderId="0" xfId="55" applyNumberFormat="1" applyFont="1" applyFill="1" applyBorder="1" applyAlignment="1" applyProtection="1">
      <alignment/>
      <protection/>
    </xf>
    <xf numFmtId="171" fontId="1" fillId="0" borderId="0" xfId="55" applyNumberFormat="1" applyFont="1" applyFill="1" applyBorder="1" applyAlignment="1" applyProtection="1">
      <alignment/>
      <protection/>
    </xf>
    <xf numFmtId="171" fontId="4" fillId="0" borderId="0" xfId="55" applyNumberFormat="1" applyFont="1" applyFill="1" applyBorder="1" applyAlignment="1" applyProtection="1">
      <alignment/>
      <protection/>
    </xf>
    <xf numFmtId="0" fontId="4" fillId="35" borderId="0" xfId="55" applyNumberFormat="1" applyFont="1" applyFill="1" applyBorder="1" applyAlignment="1" applyProtection="1">
      <alignment/>
      <protection/>
    </xf>
    <xf numFmtId="0" fontId="1" fillId="35" borderId="0" xfId="55" applyNumberFormat="1" applyFont="1" applyFill="1" applyBorder="1" applyAlignment="1" applyProtection="1">
      <alignment horizontal="left"/>
      <protection/>
    </xf>
    <xf numFmtId="0" fontId="1" fillId="35" borderId="0" xfId="55" applyNumberFormat="1" applyFont="1" applyFill="1" applyBorder="1" applyAlignment="1" applyProtection="1">
      <alignment/>
      <protection/>
    </xf>
    <xf numFmtId="0" fontId="4" fillId="35" borderId="0" xfId="55" applyNumberFormat="1" applyFont="1" applyFill="1" applyBorder="1" applyAlignment="1" applyProtection="1">
      <alignment horizontal="right"/>
      <protection/>
    </xf>
    <xf numFmtId="171" fontId="4" fillId="35" borderId="0" xfId="55" applyNumberFormat="1" applyFont="1" applyFill="1" applyBorder="1" applyAlignment="1" applyProtection="1">
      <alignment horizontal="right"/>
      <protection/>
    </xf>
    <xf numFmtId="0" fontId="4" fillId="0" borderId="0" xfId="55" applyNumberFormat="1" applyFont="1" applyFill="1" applyBorder="1" applyAlignment="1" applyProtection="1">
      <alignment/>
      <protection/>
    </xf>
    <xf numFmtId="178" fontId="4" fillId="0" borderId="0" xfId="55" applyNumberFormat="1" applyFont="1" applyFill="1" applyBorder="1" applyAlignment="1" applyProtection="1">
      <alignment/>
      <protection/>
    </xf>
    <xf numFmtId="185" fontId="1" fillId="0" borderId="0" xfId="55" applyNumberFormat="1" applyFont="1" applyFill="1" applyBorder="1" applyAlignment="1" applyProtection="1">
      <alignment/>
      <protection/>
    </xf>
    <xf numFmtId="179" fontId="1" fillId="0" borderId="0" xfId="55" applyNumberFormat="1" applyFont="1" applyFill="1" applyBorder="1" applyAlignment="1" applyProtection="1">
      <alignment horizontal="center"/>
      <protection/>
    </xf>
    <xf numFmtId="0" fontId="4" fillId="0" borderId="0" xfId="55" applyNumberFormat="1" applyFont="1" applyFill="1" applyBorder="1" applyAlignment="1" applyProtection="1">
      <alignment horizontal="center" vertical="center" wrapText="1"/>
      <protection/>
    </xf>
    <xf numFmtId="0" fontId="5" fillId="0" borderId="0" xfId="55" applyNumberFormat="1" applyFont="1" applyFill="1" applyBorder="1" applyAlignment="1" applyProtection="1">
      <alignment horizontal="center" vertical="center"/>
      <protection/>
    </xf>
    <xf numFmtId="0" fontId="5" fillId="0" borderId="0" xfId="55" applyNumberFormat="1" applyFont="1" applyFill="1" applyBorder="1" applyAlignment="1" applyProtection="1">
      <alignment horizontal="center" vertical="center" wrapText="1"/>
      <protection/>
    </xf>
    <xf numFmtId="179" fontId="5" fillId="0" borderId="0" xfId="55" applyNumberFormat="1" applyFont="1" applyFill="1" applyBorder="1" applyAlignment="1" applyProtection="1">
      <alignment horizontal="center" vertical="center" wrapText="1"/>
      <protection/>
    </xf>
    <xf numFmtId="182" fontId="5" fillId="0" borderId="0" xfId="55" applyNumberFormat="1" applyFont="1" applyFill="1" applyBorder="1" applyAlignment="1" applyProtection="1">
      <alignment horizontal="center" vertical="center" wrapText="1"/>
      <protection/>
    </xf>
    <xf numFmtId="179" fontId="1" fillId="0" borderId="0" xfId="55" applyNumberFormat="1" applyFont="1" applyFill="1" applyBorder="1" applyAlignment="1" applyProtection="1">
      <alignment horizontal="center" vertical="center"/>
      <protection/>
    </xf>
    <xf numFmtId="171" fontId="1" fillId="0" borderId="0" xfId="55" applyNumberFormat="1" applyFont="1" applyFill="1" applyBorder="1" applyAlignment="1" applyProtection="1">
      <alignment horizontal="center"/>
      <protection/>
    </xf>
    <xf numFmtId="0" fontId="7" fillId="0" borderId="0" xfId="55" applyNumberFormat="1" applyFont="1" applyFill="1" applyBorder="1" applyAlignment="1" applyProtection="1">
      <alignment/>
      <protection/>
    </xf>
    <xf numFmtId="0" fontId="1" fillId="0" borderId="0" xfId="55" applyNumberFormat="1" applyFont="1" applyFill="1" applyBorder="1" applyAlignment="1" applyProtection="1">
      <alignment horizontal="right"/>
      <protection/>
    </xf>
    <xf numFmtId="182" fontId="4" fillId="0" borderId="0" xfId="55" applyNumberFormat="1" applyFont="1" applyFill="1" applyBorder="1" applyAlignment="1" applyProtection="1">
      <alignment/>
      <protection/>
    </xf>
    <xf numFmtId="183" fontId="1" fillId="0" borderId="0" xfId="55" applyNumberFormat="1" applyFont="1" applyFill="1" applyBorder="1" applyAlignment="1" applyProtection="1">
      <alignment horizontal="center"/>
      <protection/>
    </xf>
    <xf numFmtId="186" fontId="4" fillId="0" borderId="0" xfId="55" applyNumberFormat="1" applyFont="1" applyFill="1" applyBorder="1" applyAlignment="1" applyProtection="1">
      <alignment horizontal="right"/>
      <protection/>
    </xf>
    <xf numFmtId="0" fontId="5" fillId="0" borderId="0" xfId="55" applyNumberFormat="1" applyFont="1" applyFill="1" applyBorder="1" applyAlignment="1" applyProtection="1">
      <alignment/>
      <protection/>
    </xf>
    <xf numFmtId="0" fontId="6" fillId="0" borderId="0" xfId="55" applyNumberFormat="1" applyFont="1" applyFill="1" applyBorder="1" applyAlignment="1" applyProtection="1">
      <alignment/>
      <protection/>
    </xf>
    <xf numFmtId="0" fontId="6" fillId="0" borderId="0" xfId="55" applyNumberFormat="1" applyFont="1" applyFill="1" applyBorder="1" applyAlignment="1" applyProtection="1">
      <alignment horizontal="left"/>
      <protection/>
    </xf>
    <xf numFmtId="0" fontId="46" fillId="0" borderId="0" xfId="0" applyNumberFormat="1" applyFont="1" applyFill="1" applyBorder="1" applyAlignment="1" applyProtection="1">
      <alignment/>
      <protection/>
    </xf>
    <xf numFmtId="179" fontId="1" fillId="36" borderId="0" xfId="0" applyNumberFormat="1" applyFont="1" applyFill="1" applyBorder="1" applyAlignment="1" applyProtection="1">
      <alignment horizontal="center"/>
      <protection/>
    </xf>
    <xf numFmtId="179" fontId="4" fillId="37" borderId="0" xfId="0" applyNumberFormat="1" applyFont="1" applyFill="1" applyAlignment="1">
      <alignment horizontal="center"/>
    </xf>
    <xf numFmtId="0" fontId="1" fillId="0" borderId="0" xfId="0" applyFont="1" applyAlignment="1">
      <alignment horizontal="right" indent="2"/>
    </xf>
    <xf numFmtId="0" fontId="4" fillId="35" borderId="0" xfId="0" applyNumberFormat="1" applyFont="1" applyFill="1" applyBorder="1" applyAlignment="1" applyProtection="1">
      <alignment/>
      <protection/>
    </xf>
    <xf numFmtId="178" fontId="1" fillId="35" borderId="0" xfId="0" applyNumberFormat="1" applyFont="1" applyFill="1" applyBorder="1" applyAlignment="1" applyProtection="1">
      <alignment/>
      <protection/>
    </xf>
    <xf numFmtId="0" fontId="1" fillId="35" borderId="0" xfId="0" applyNumberFormat="1" applyFont="1" applyFill="1" applyBorder="1" applyAlignment="1" applyProtection="1">
      <alignment/>
      <protection/>
    </xf>
    <xf numFmtId="0" fontId="4" fillId="35" borderId="0" xfId="0" applyNumberFormat="1" applyFont="1" applyFill="1" applyBorder="1" applyAlignment="1" applyProtection="1">
      <alignment horizontal="right"/>
      <protection/>
    </xf>
    <xf numFmtId="171" fontId="4" fillId="35" borderId="1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79" fontId="1" fillId="35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186" fontId="4" fillId="0" borderId="0" xfId="0" applyNumberFormat="1" applyFont="1" applyFill="1" applyBorder="1" applyAlignment="1" applyProtection="1">
      <alignment horizontal="right"/>
      <protection/>
    </xf>
    <xf numFmtId="183" fontId="1" fillId="0" borderId="0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46" fillId="0" borderId="0" xfId="0" applyNumberFormat="1" applyFont="1" applyFill="1" applyBorder="1" applyAlignment="1" applyProtection="1">
      <alignment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Alignment="1">
      <alignment horizontal="right" indent="2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6" fillId="0" borderId="0" xfId="0" applyNumberFormat="1" applyFont="1" applyFill="1" applyBorder="1" applyAlignment="1" applyProtection="1">
      <alignment horizontal="center"/>
      <protection/>
    </xf>
    <xf numFmtId="0" fontId="5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NumberFormat="1" applyFont="1" applyFill="1" applyBorder="1" applyAlignment="1" applyProtection="1">
      <alignment horizontal="right" indent="2"/>
      <protection/>
    </xf>
    <xf numFmtId="0" fontId="6" fillId="0" borderId="0" xfId="55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right" indent="2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3"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b/>
        <i val="0"/>
        <strike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6969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FH\SAMPLE%20COMPUTATIONS\VIREO\JULY%201%20-%2021\VIREO%20T2%20-%20STUDIO%20-%20LOCAL%20BUY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OT CASH"/>
      <sheetName val="BANK FIN"/>
      <sheetName val="DEFFERED"/>
      <sheetName val="STRET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44"/>
  <sheetViews>
    <sheetView zoomScalePageLayoutView="0" workbookViewId="0" topLeftCell="A1">
      <selection activeCell="G11" sqref="G11"/>
    </sheetView>
  </sheetViews>
  <sheetFormatPr defaultColWidth="12.375" defaultRowHeight="12.75" customHeight="1"/>
  <cols>
    <col min="1" max="6" width="12.375" style="1" customWidth="1"/>
    <col min="7" max="7" width="24.00390625" style="1" customWidth="1"/>
    <col min="8" max="9" width="15.00390625" style="1" customWidth="1"/>
    <col min="10" max="10" width="14.125" style="1" customWidth="1"/>
    <col min="11" max="16384" width="12.375" style="1" customWidth="1"/>
  </cols>
  <sheetData>
    <row r="1" spans="1:7" ht="14.25" customHeight="1">
      <c r="A1" s="2" t="s">
        <v>0</v>
      </c>
      <c r="B1" s="163" t="s">
        <v>1</v>
      </c>
      <c r="C1" s="163"/>
      <c r="D1" s="163"/>
      <c r="E1" s="163"/>
      <c r="F1" s="163"/>
      <c r="G1" s="3"/>
    </row>
    <row r="2" spans="1:7" ht="14.25" customHeight="1">
      <c r="A2" s="4"/>
      <c r="B2" s="165" t="s">
        <v>2</v>
      </c>
      <c r="C2" s="165"/>
      <c r="D2" s="165"/>
      <c r="E2" s="165"/>
      <c r="F2" s="165"/>
      <c r="G2" s="5"/>
    </row>
    <row r="3" spans="1:7" ht="30" customHeight="1">
      <c r="A3" s="166" t="s">
        <v>90</v>
      </c>
      <c r="B3" s="167"/>
      <c r="C3" s="167"/>
      <c r="D3" s="167"/>
      <c r="E3" s="167"/>
      <c r="F3" s="167"/>
      <c r="G3" s="168"/>
    </row>
    <row r="4" spans="1:7" ht="13.5" customHeight="1">
      <c r="A4" s="61">
        <f>IF(A47&lt;=12,12,A47)</f>
        <v>12</v>
      </c>
      <c r="B4" s="62"/>
      <c r="C4" s="62"/>
      <c r="D4" s="63" t="str">
        <f>IF(A47&gt;G5,"TERM IS SUBJECT FOR APPROVAL","SAMPLE COMPUTATION ONLY")</f>
        <v>SAMPLE COMPUTATION ONLY</v>
      </c>
      <c r="E4" s="62"/>
      <c r="F4" s="62"/>
      <c r="G4" s="64"/>
    </row>
    <row r="5" spans="1:7" ht="13.5" customHeight="1">
      <c r="A5" s="65"/>
      <c r="B5" s="65"/>
      <c r="C5" s="65"/>
      <c r="D5" s="65"/>
      <c r="E5" s="65"/>
      <c r="F5" s="65"/>
      <c r="G5" s="66">
        <v>24</v>
      </c>
    </row>
    <row r="6" spans="1:7" ht="12.75">
      <c r="A6" s="67" t="s">
        <v>3</v>
      </c>
      <c r="B6" s="67" t="s">
        <v>4</v>
      </c>
      <c r="C6" s="67" t="s">
        <v>5</v>
      </c>
      <c r="D6" s="67" t="s">
        <v>6</v>
      </c>
      <c r="E6" s="67"/>
      <c r="F6" s="169" t="s">
        <v>7</v>
      </c>
      <c r="G6" s="169"/>
    </row>
    <row r="7" spans="1:7" ht="12.75">
      <c r="A7" s="68">
        <v>3</v>
      </c>
      <c r="B7" s="68">
        <v>711</v>
      </c>
      <c r="C7" s="68">
        <v>7</v>
      </c>
      <c r="D7" s="68">
        <v>23.16</v>
      </c>
      <c r="E7" s="68"/>
      <c r="F7" s="164" t="s">
        <v>8</v>
      </c>
      <c r="G7" s="164"/>
    </row>
    <row r="8" spans="1:7" ht="12.75" customHeight="1">
      <c r="A8" s="65"/>
      <c r="B8" s="65"/>
      <c r="C8" s="65"/>
      <c r="D8" s="65"/>
      <c r="E8" s="65"/>
      <c r="F8" s="65"/>
      <c r="G8" s="65"/>
    </row>
    <row r="9" spans="1:7" ht="12.75" customHeight="1">
      <c r="A9" s="65"/>
      <c r="B9" s="65"/>
      <c r="C9" s="65"/>
      <c r="D9" s="65"/>
      <c r="E9" s="65"/>
      <c r="F9" s="65"/>
      <c r="G9" s="65"/>
    </row>
    <row r="10" spans="1:7" ht="12.75">
      <c r="A10" s="69" t="s">
        <v>9</v>
      </c>
      <c r="B10" s="69"/>
      <c r="C10" s="70"/>
      <c r="D10" s="71"/>
      <c r="E10" s="71"/>
      <c r="F10" s="72" t="s">
        <v>10</v>
      </c>
      <c r="G10" s="73">
        <v>5409000</v>
      </c>
    </row>
    <row r="11" spans="1:7" ht="12.75">
      <c r="A11" s="1" t="s">
        <v>11</v>
      </c>
      <c r="B11" s="1" t="s">
        <v>12</v>
      </c>
      <c r="C11" s="10"/>
      <c r="F11" s="11"/>
      <c r="G11" s="12">
        <f>ROUND(IF(ISERROR(FIND("PARKING",Model,1)),IF(SellingPrice&gt;3199200,(G10-(G10/1.12)),0),(G10-(G10/1.12))),2)</f>
        <v>579535.71</v>
      </c>
    </row>
    <row r="12" spans="1:10" ht="12.75">
      <c r="A12" s="6">
        <v>5</v>
      </c>
      <c r="B12" s="1" t="str">
        <f>CONCATENATE(A12,"% Spot Cash Discount")</f>
        <v>5% Spot Cash Discount</v>
      </c>
      <c r="F12" s="11"/>
      <c r="G12" s="13">
        <f>((G10-G11)-Discount2Value)*(PercentageDiscount/100)</f>
        <v>241473.2145</v>
      </c>
      <c r="I12" s="13"/>
      <c r="J12" s="13"/>
    </row>
    <row r="13" spans="2:10" ht="12.75" hidden="1">
      <c r="B13" s="1" t="s">
        <v>13</v>
      </c>
      <c r="G13" s="13">
        <v>0</v>
      </c>
      <c r="I13" s="13"/>
      <c r="J13" s="13"/>
    </row>
    <row r="14" spans="2:10" ht="12.75" hidden="1">
      <c r="B14" s="1" t="s">
        <v>14</v>
      </c>
      <c r="G14" s="13">
        <v>0</v>
      </c>
      <c r="I14" s="13"/>
      <c r="J14" s="13"/>
    </row>
    <row r="15" spans="2:9" ht="12.75" hidden="1">
      <c r="B15" s="1" t="s">
        <v>15</v>
      </c>
      <c r="G15" s="13">
        <v>0</v>
      </c>
      <c r="I15" s="13"/>
    </row>
    <row r="16" spans="2:9" ht="12.75" hidden="1">
      <c r="B16" s="1" t="s">
        <v>16</v>
      </c>
      <c r="D16" s="147"/>
      <c r="E16" s="147"/>
      <c r="F16" s="147"/>
      <c r="G16" s="13">
        <v>0</v>
      </c>
      <c r="I16" s="13"/>
    </row>
    <row r="17" spans="2:9" ht="12.75" hidden="1">
      <c r="B17" s="1" t="s">
        <v>109</v>
      </c>
      <c r="G17" s="13">
        <v>0</v>
      </c>
      <c r="I17" s="13"/>
    </row>
    <row r="18" spans="2:10" ht="12.75" hidden="1">
      <c r="B18" s="1" t="s">
        <v>18</v>
      </c>
      <c r="G18" s="13">
        <v>0</v>
      </c>
      <c r="H18" s="13"/>
      <c r="I18" s="13"/>
      <c r="J18" s="13"/>
    </row>
    <row r="19" spans="2:10" ht="12.75" hidden="1">
      <c r="B19" s="1" t="s">
        <v>19</v>
      </c>
      <c r="G19" s="13">
        <v>0</v>
      </c>
      <c r="J19" s="13"/>
    </row>
    <row r="20" spans="2:10" ht="12.75" hidden="1">
      <c r="B20" s="1" t="s">
        <v>20</v>
      </c>
      <c r="G20" s="13">
        <v>0</v>
      </c>
      <c r="J20" s="13"/>
    </row>
    <row r="21" spans="2:10" ht="12.75" hidden="1">
      <c r="B21" s="1" t="s">
        <v>21</v>
      </c>
      <c r="G21" s="13">
        <v>0</v>
      </c>
      <c r="J21" s="13"/>
    </row>
    <row r="22" spans="2:10" ht="12.75" hidden="1">
      <c r="B22" s="1" t="s">
        <v>22</v>
      </c>
      <c r="G22" s="13">
        <v>0</v>
      </c>
      <c r="J22" s="13"/>
    </row>
    <row r="23" spans="6:10" ht="13.5" customHeight="1" thickBot="1">
      <c r="F23" s="11"/>
      <c r="G23" s="14"/>
      <c r="J23" s="13"/>
    </row>
    <row r="24" spans="1:7" ht="13.5" customHeight="1" thickTop="1">
      <c r="A24" s="7" t="s">
        <v>23</v>
      </c>
      <c r="B24" s="15"/>
      <c r="C24" s="8"/>
      <c r="D24" s="8"/>
      <c r="E24" s="8"/>
      <c r="F24" s="9" t="s">
        <v>10</v>
      </c>
      <c r="G24" s="16">
        <f>(G10-G11)-SUM(G12:G22)</f>
        <v>4587991.0755</v>
      </c>
    </row>
    <row r="25" spans="1:7" ht="12.75">
      <c r="A25" s="1" t="s">
        <v>24</v>
      </c>
      <c r="B25" s="1" t="s">
        <v>12</v>
      </c>
      <c r="G25" s="13">
        <f>ROUND(IF(ISERROR(FIND("PARKING",F7,1)),IF(G24&gt;3199200,G24*12%,0),G24*12%),2)</f>
        <v>550558.93</v>
      </c>
    </row>
    <row r="26" spans="1:7" ht="12.75" hidden="1">
      <c r="A26" s="6">
        <v>6</v>
      </c>
      <c r="B26" s="1" t="s">
        <v>25</v>
      </c>
      <c r="G26" s="13">
        <f>ROUND(G24*(A26/100),2)</f>
        <v>275279.46</v>
      </c>
    </row>
    <row r="27" spans="1:7" ht="12.75" hidden="1">
      <c r="A27" s="6"/>
      <c r="B27" s="1" t="s">
        <v>26</v>
      </c>
      <c r="F27" s="6">
        <f>IF(G27&gt;50000,50000,G27)</f>
        <v>0</v>
      </c>
      <c r="G27" s="13">
        <v>0</v>
      </c>
    </row>
    <row r="28" spans="1:7" ht="12.75" hidden="1">
      <c r="A28" s="6"/>
      <c r="B28" s="1" t="s">
        <v>27</v>
      </c>
      <c r="G28" s="13">
        <v>0</v>
      </c>
    </row>
    <row r="29" spans="1:7" ht="13.5" customHeight="1" thickBot="1">
      <c r="A29" s="6"/>
      <c r="B29" s="1" t="s">
        <v>25</v>
      </c>
      <c r="G29" s="13">
        <f>ROUND(SUM(G26,G28,F27),2)</f>
        <v>275279.46</v>
      </c>
    </row>
    <row r="30" spans="1:7" ht="13.5" customHeight="1" thickTop="1">
      <c r="A30" s="7" t="s">
        <v>28</v>
      </c>
      <c r="B30" s="8"/>
      <c r="C30" s="8"/>
      <c r="D30" s="8"/>
      <c r="E30" s="8"/>
      <c r="F30" s="9" t="s">
        <v>10</v>
      </c>
      <c r="G30" s="16">
        <f>G24+SUM(G25,G29)</f>
        <v>5413829.465500001</v>
      </c>
    </row>
    <row r="31" spans="1:7" ht="13.5" customHeight="1">
      <c r="A31" s="1" t="s">
        <v>11</v>
      </c>
      <c r="B31" s="1" t="s">
        <v>29</v>
      </c>
      <c r="E31" s="17">
        <f ca="1">NOW()</f>
        <v>44211.77902361111</v>
      </c>
      <c r="G31" s="13">
        <v>20000</v>
      </c>
    </row>
    <row r="32" spans="1:7" ht="13.5" customHeight="1">
      <c r="A32" s="18" t="s">
        <v>30</v>
      </c>
      <c r="B32" s="8"/>
      <c r="C32" s="8"/>
      <c r="D32" s="8"/>
      <c r="E32" s="148">
        <f>ReservationDate+29</f>
        <v>44240.77902361111</v>
      </c>
      <c r="F32" s="9" t="s">
        <v>10</v>
      </c>
      <c r="G32" s="16">
        <f>G30-G31</f>
        <v>5393829.465500001</v>
      </c>
    </row>
    <row r="33" spans="1:3" ht="12.75">
      <c r="A33" s="6"/>
      <c r="B33" s="6"/>
      <c r="C33" s="19">
        <v>20</v>
      </c>
    </row>
    <row r="34" spans="1:4" ht="12.75">
      <c r="A34" s="20" t="s">
        <v>31</v>
      </c>
      <c r="B34" s="21"/>
      <c r="C34" s="21"/>
      <c r="D34" s="21"/>
    </row>
    <row r="35" spans="1:7" s="25" customFormat="1" ht="12.75">
      <c r="A35" s="170" t="s">
        <v>91</v>
      </c>
      <c r="B35" s="170"/>
      <c r="C35" s="170"/>
      <c r="D35" s="170"/>
      <c r="E35" s="170"/>
      <c r="F35" s="170"/>
      <c r="G35" s="170"/>
    </row>
    <row r="36" spans="1:4" ht="12.75">
      <c r="A36" s="21" t="s">
        <v>32</v>
      </c>
      <c r="B36" s="21"/>
      <c r="C36" s="21"/>
      <c r="D36" s="21"/>
    </row>
    <row r="37" spans="1:4" ht="12.75">
      <c r="A37" s="21" t="s">
        <v>33</v>
      </c>
      <c r="B37" s="21"/>
      <c r="C37" s="21"/>
      <c r="D37" s="21"/>
    </row>
    <row r="38" spans="1:4" ht="12.75">
      <c r="A38" s="21" t="s">
        <v>34</v>
      </c>
      <c r="B38" s="21"/>
      <c r="C38" s="21"/>
      <c r="D38" s="21"/>
    </row>
    <row r="39" spans="1:4" ht="12.75">
      <c r="A39" s="22" t="s">
        <v>35</v>
      </c>
      <c r="B39" s="21"/>
      <c r="C39" s="21"/>
      <c r="D39" s="21"/>
    </row>
    <row r="40" spans="1:4" ht="12.75">
      <c r="A40" s="22" t="s">
        <v>36</v>
      </c>
      <c r="B40" s="21"/>
      <c r="C40" s="21"/>
      <c r="D40" s="21"/>
    </row>
    <row r="41" spans="1:4" ht="12.75">
      <c r="A41" s="22" t="s">
        <v>37</v>
      </c>
      <c r="B41" s="21"/>
      <c r="C41" s="21"/>
      <c r="D41" s="21"/>
    </row>
    <row r="42" spans="1:4" ht="12.75">
      <c r="A42" s="22" t="s">
        <v>38</v>
      </c>
      <c r="B42" s="21"/>
      <c r="C42" s="21"/>
      <c r="D42" s="21"/>
    </row>
    <row r="43" spans="1:4" ht="12.75">
      <c r="A43" s="22" t="s">
        <v>39</v>
      </c>
      <c r="B43" s="21"/>
      <c r="C43" s="21"/>
      <c r="D43" s="21"/>
    </row>
    <row r="44" spans="1:7" s="25" customFormat="1" ht="12.75">
      <c r="A44" s="170" t="s">
        <v>92</v>
      </c>
      <c r="B44" s="170"/>
      <c r="C44" s="170"/>
      <c r="D44" s="170"/>
      <c r="E44" s="170"/>
      <c r="F44" s="170"/>
      <c r="G44" s="170"/>
    </row>
  </sheetData>
  <sheetProtection/>
  <mergeCells count="7">
    <mergeCell ref="B1:F1"/>
    <mergeCell ref="F7:G7"/>
    <mergeCell ref="B2:F2"/>
    <mergeCell ref="A3:G3"/>
    <mergeCell ref="F6:G6"/>
    <mergeCell ref="A44:G44"/>
    <mergeCell ref="A35:G35"/>
  </mergeCells>
  <conditionalFormatting sqref="B25">
    <cfRule type="expression" priority="2" dxfId="40" stopIfTrue="1">
      <formula>$G$25=0</formula>
    </cfRule>
  </conditionalFormatting>
  <conditionalFormatting sqref="G11 G25">
    <cfRule type="cellIs" priority="3" dxfId="40" operator="equal" stopIfTrue="1">
      <formula>0</formula>
    </cfRule>
  </conditionalFormatting>
  <conditionalFormatting sqref="B11">
    <cfRule type="expression" priority="4" dxfId="40" stopIfTrue="1">
      <formula>$G$11=0</formula>
    </cfRule>
  </conditionalFormatting>
  <conditionalFormatting sqref="D4">
    <cfRule type="expression" priority="1" dxfId="41" stopIfTrue="1">
      <formula>G5&lt;=TODAY()</formula>
    </cfRule>
  </conditionalFormatting>
  <printOptions horizontalCentered="1"/>
  <pageMargins left="0.2362204724409449" right="0.2362204724409449" top="0.5118110236220472" bottom="0.5118110236220472" header="0.5118110236220472" footer="0.5118110236220472"/>
  <pageSetup fitToHeight="1" fitToWidth="1" horizontalDpi="300" verticalDpi="3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74"/>
  <sheetViews>
    <sheetView zoomScalePageLayoutView="0" workbookViewId="0" topLeftCell="A1">
      <selection activeCell="A6" sqref="A6:G10"/>
    </sheetView>
  </sheetViews>
  <sheetFormatPr defaultColWidth="12.375" defaultRowHeight="12.75" customHeight="1"/>
  <cols>
    <col min="1" max="6" width="12.375" style="1" customWidth="1"/>
    <col min="7" max="7" width="24.00390625" style="1" customWidth="1"/>
    <col min="8" max="9" width="15.00390625" style="1" customWidth="1"/>
    <col min="10" max="10" width="14.125" style="1" customWidth="1"/>
    <col min="11" max="16384" width="12.375" style="1" customWidth="1"/>
  </cols>
  <sheetData>
    <row r="1" spans="1:7" ht="14.25" customHeight="1" thickTop="1">
      <c r="A1" s="2" t="s">
        <v>0</v>
      </c>
      <c r="B1" s="163" t="s">
        <v>1</v>
      </c>
      <c r="C1" s="163"/>
      <c r="D1" s="163"/>
      <c r="E1" s="163"/>
      <c r="F1" s="163"/>
      <c r="G1" s="3"/>
    </row>
    <row r="2" spans="1:7" ht="14.25" customHeight="1">
      <c r="A2" s="4"/>
      <c r="B2" s="165" t="s">
        <v>2</v>
      </c>
      <c r="C2" s="165"/>
      <c r="D2" s="165"/>
      <c r="E2" s="165"/>
      <c r="F2" s="165"/>
      <c r="G2" s="5"/>
    </row>
    <row r="3" spans="1:7" ht="30" customHeight="1">
      <c r="A3" s="166" t="s">
        <v>90</v>
      </c>
      <c r="B3" s="167"/>
      <c r="C3" s="167"/>
      <c r="D3" s="167"/>
      <c r="E3" s="167"/>
      <c r="F3" s="167"/>
      <c r="G3" s="168"/>
    </row>
    <row r="4" spans="1:7" ht="13.5" customHeight="1" thickBot="1">
      <c r="A4" s="61" t="str">
        <f>IF(A47&lt;=12,12,A47)</f>
        <v>1.   In the event of an increase in Other Charges, AYALA LAND INC. has the right to charge the</v>
      </c>
      <c r="B4" s="62"/>
      <c r="C4" s="62"/>
      <c r="D4" s="63" t="str">
        <f>IF(A47&gt;G5,"TERM IS SUBJECT FOR APPROVAL","SAMPLE COMPUTATION ONLY")</f>
        <v>TERM IS SUBJECT FOR APPROVAL</v>
      </c>
      <c r="E4" s="62"/>
      <c r="F4" s="62"/>
      <c r="G4" s="64"/>
    </row>
    <row r="5" spans="1:7" ht="13.5" customHeight="1" thickTop="1">
      <c r="A5" s="65"/>
      <c r="B5" s="65"/>
      <c r="C5" s="65"/>
      <c r="D5" s="65"/>
      <c r="E5" s="65"/>
      <c r="F5" s="65"/>
      <c r="G5" s="66">
        <v>24</v>
      </c>
    </row>
    <row r="6" spans="1:7" ht="12.75">
      <c r="A6" s="67" t="s">
        <v>3</v>
      </c>
      <c r="B6" s="67" t="s">
        <v>4</v>
      </c>
      <c r="C6" s="67" t="s">
        <v>5</v>
      </c>
      <c r="D6" s="67" t="s">
        <v>6</v>
      </c>
      <c r="E6" s="67"/>
      <c r="F6" s="169" t="s">
        <v>7</v>
      </c>
      <c r="G6" s="169"/>
    </row>
    <row r="7" spans="1:7" ht="12.75">
      <c r="A7" s="68">
        <v>3</v>
      </c>
      <c r="B7" s="68">
        <v>711</v>
      </c>
      <c r="C7" s="68">
        <v>7</v>
      </c>
      <c r="D7" s="68">
        <v>23.16</v>
      </c>
      <c r="E7" s="68"/>
      <c r="F7" s="164" t="s">
        <v>8</v>
      </c>
      <c r="G7" s="164"/>
    </row>
    <row r="8" spans="1:7" ht="12.75" customHeight="1">
      <c r="A8" s="65"/>
      <c r="B8" s="65"/>
      <c r="C8" s="65"/>
      <c r="D8" s="65"/>
      <c r="E8" s="65"/>
      <c r="F8" s="65"/>
      <c r="G8" s="65"/>
    </row>
    <row r="9" spans="1:7" ht="12.75" customHeight="1">
      <c r="A9" s="65"/>
      <c r="B9" s="65"/>
      <c r="C9" s="65"/>
      <c r="D9" s="65"/>
      <c r="E9" s="65"/>
      <c r="F9" s="65"/>
      <c r="G9" s="65"/>
    </row>
    <row r="10" spans="1:7" ht="12.75">
      <c r="A10" s="69" t="s">
        <v>9</v>
      </c>
      <c r="B10" s="69"/>
      <c r="C10" s="70"/>
      <c r="D10" s="71"/>
      <c r="E10" s="71"/>
      <c r="F10" s="72" t="s">
        <v>10</v>
      </c>
      <c r="G10" s="73">
        <v>5409000</v>
      </c>
    </row>
    <row r="11" spans="1:7" ht="12.75">
      <c r="A11" s="1" t="s">
        <v>11</v>
      </c>
      <c r="B11" s="1" t="s">
        <v>12</v>
      </c>
      <c r="C11" s="10"/>
      <c r="F11" s="11"/>
      <c r="G11" s="12">
        <f>ROUND(IF(ISERROR(FIND("PARKING",Model,1)),IF(SellingPrice&gt;3199200,(G10-(G10/1.12)),0),(G10-(G10/1.12))),2)</f>
        <v>579535.71</v>
      </c>
    </row>
    <row r="12" spans="1:10" ht="12.75">
      <c r="A12" s="6">
        <v>5</v>
      </c>
      <c r="B12" s="1" t="s">
        <v>111</v>
      </c>
      <c r="D12" s="162"/>
      <c r="E12" s="162"/>
      <c r="F12" s="162"/>
      <c r="G12" s="13">
        <f>(SellingPrice-G11)*10%*5%</f>
        <v>24147.321450000003</v>
      </c>
      <c r="I12" s="13"/>
      <c r="J12" s="13"/>
    </row>
    <row r="13" spans="2:10" ht="12.75" customHeight="1" hidden="1">
      <c r="B13" s="1" t="s">
        <v>13</v>
      </c>
      <c r="D13" s="162"/>
      <c r="E13" s="162"/>
      <c r="F13" s="162"/>
      <c r="G13" s="13">
        <v>0</v>
      </c>
      <c r="I13" s="13"/>
      <c r="J13" s="13"/>
    </row>
    <row r="14" spans="2:10" ht="12.75" customHeight="1" hidden="1">
      <c r="B14" s="1" t="s">
        <v>14</v>
      </c>
      <c r="D14" s="162"/>
      <c r="E14" s="162"/>
      <c r="F14" s="162"/>
      <c r="G14" s="13">
        <v>0</v>
      </c>
      <c r="I14" s="13"/>
      <c r="J14" s="13"/>
    </row>
    <row r="15" spans="2:9" ht="12.75" customHeight="1" hidden="1">
      <c r="B15" s="1" t="s">
        <v>15</v>
      </c>
      <c r="D15" s="162"/>
      <c r="E15" s="162"/>
      <c r="F15" s="162"/>
      <c r="G15" s="13">
        <v>0</v>
      </c>
      <c r="I15" s="13"/>
    </row>
    <row r="16" spans="2:9" ht="12.75" hidden="1">
      <c r="B16" s="1" t="s">
        <v>16</v>
      </c>
      <c r="D16" s="162"/>
      <c r="E16" s="162"/>
      <c r="F16" s="162"/>
      <c r="G16" s="13">
        <v>0</v>
      </c>
      <c r="I16" s="13"/>
    </row>
    <row r="17" spans="2:9" ht="12.75" customHeight="1" hidden="1">
      <c r="B17" s="1" t="s">
        <v>109</v>
      </c>
      <c r="D17" s="162"/>
      <c r="E17" s="162"/>
      <c r="F17" s="162"/>
      <c r="G17" s="13">
        <v>0</v>
      </c>
      <c r="I17" s="13"/>
    </row>
    <row r="18" spans="2:10" ht="12.75" customHeight="1" hidden="1">
      <c r="B18" s="1" t="s">
        <v>18</v>
      </c>
      <c r="D18" s="162"/>
      <c r="E18" s="162"/>
      <c r="F18" s="162"/>
      <c r="G18" s="13">
        <v>0</v>
      </c>
      <c r="H18" s="13"/>
      <c r="I18" s="13"/>
      <c r="J18" s="13"/>
    </row>
    <row r="19" spans="2:10" ht="12.75" customHeight="1" hidden="1">
      <c r="B19" s="1" t="s">
        <v>19</v>
      </c>
      <c r="D19" s="162"/>
      <c r="E19" s="162"/>
      <c r="F19" s="162"/>
      <c r="G19" s="13">
        <v>0</v>
      </c>
      <c r="J19" s="13"/>
    </row>
    <row r="20" spans="2:10" ht="12.75" customHeight="1" hidden="1">
      <c r="B20" s="1" t="s">
        <v>20</v>
      </c>
      <c r="D20" s="162"/>
      <c r="E20" s="162"/>
      <c r="F20" s="162"/>
      <c r="G20" s="13">
        <v>0</v>
      </c>
      <c r="J20" s="13"/>
    </row>
    <row r="21" spans="2:10" ht="12.75" customHeight="1" hidden="1">
      <c r="B21" s="1" t="s">
        <v>21</v>
      </c>
      <c r="D21" s="162"/>
      <c r="E21" s="162"/>
      <c r="F21" s="162"/>
      <c r="G21" s="13">
        <v>0</v>
      </c>
      <c r="J21" s="13"/>
    </row>
    <row r="22" spans="2:10" ht="12.75" customHeight="1" hidden="1">
      <c r="B22" s="1" t="s">
        <v>22</v>
      </c>
      <c r="D22" s="162"/>
      <c r="E22" s="162"/>
      <c r="F22" s="162"/>
      <c r="G22" s="13">
        <v>0</v>
      </c>
      <c r="J22" s="13"/>
    </row>
    <row r="23" spans="4:10" ht="13.5" customHeight="1" thickBot="1">
      <c r="D23" s="162"/>
      <c r="E23" s="162"/>
      <c r="F23" s="162"/>
      <c r="G23" s="14"/>
      <c r="J23" s="13"/>
    </row>
    <row r="24" spans="1:7" ht="13.5" customHeight="1" thickTop="1">
      <c r="A24" s="151" t="s">
        <v>40</v>
      </c>
      <c r="B24" s="152"/>
      <c r="C24" s="153"/>
      <c r="D24" s="153"/>
      <c r="E24" s="153"/>
      <c r="F24" s="154" t="s">
        <v>10</v>
      </c>
      <c r="G24" s="155">
        <f>(SellingPrice-G11)-SUM(G12:G22)</f>
        <v>4805316.96855</v>
      </c>
    </row>
    <row r="25" spans="1:7" ht="12.75">
      <c r="A25" s="1" t="s">
        <v>24</v>
      </c>
      <c r="B25" s="1" t="s">
        <v>12</v>
      </c>
      <c r="G25" s="13">
        <f>ROUND(IF(ISERROR(FIND("PARKING",Model,1)),IF(G24&gt;3199200,G24*12%,0),G24*12%),2)</f>
        <v>576638.04</v>
      </c>
    </row>
    <row r="26" spans="1:7" ht="12.75" customHeight="1" hidden="1">
      <c r="A26" s="6">
        <v>7</v>
      </c>
      <c r="B26" s="1" t="s">
        <v>25</v>
      </c>
      <c r="G26" s="13">
        <f>ROUND(G24*(A26/100),2)</f>
        <v>336372.19</v>
      </c>
    </row>
    <row r="27" spans="1:7" ht="12.75" customHeight="1" hidden="1">
      <c r="A27" s="6"/>
      <c r="B27" s="1" t="s">
        <v>26</v>
      </c>
      <c r="F27" s="6">
        <f>IF(G27&gt;50000,50000,G27)</f>
        <v>0</v>
      </c>
      <c r="G27" s="13">
        <v>0</v>
      </c>
    </row>
    <row r="28" spans="1:7" ht="12.75" customHeight="1" hidden="1">
      <c r="A28" s="6"/>
      <c r="B28" s="1" t="s">
        <v>27</v>
      </c>
      <c r="G28" s="13">
        <v>0</v>
      </c>
    </row>
    <row r="29" spans="1:7" ht="13.5" customHeight="1" thickBot="1">
      <c r="A29" s="6"/>
      <c r="B29" s="1" t="s">
        <v>25</v>
      </c>
      <c r="G29" s="13">
        <f>G24*6%</f>
        <v>288319.018113</v>
      </c>
    </row>
    <row r="30" spans="1:7" ht="13.5" customHeight="1" thickTop="1">
      <c r="A30" s="151" t="s">
        <v>28</v>
      </c>
      <c r="B30" s="153"/>
      <c r="C30" s="153"/>
      <c r="D30" s="153"/>
      <c r="E30" s="153"/>
      <c r="F30" s="154" t="s">
        <v>10</v>
      </c>
      <c r="G30" s="155">
        <f>G24+SUM(G25,G29)</f>
        <v>5670274.026663001</v>
      </c>
    </row>
    <row r="31" ht="13.5" customHeight="1"/>
    <row r="32" ht="13.5" customHeight="1">
      <c r="A32" s="156" t="s">
        <v>41</v>
      </c>
    </row>
    <row r="33" spans="1:7" ht="12.75">
      <c r="A33" s="19">
        <v>20</v>
      </c>
      <c r="B33" s="1" t="str">
        <f>CONCATENATE("Downpayment ("&amp;A33&amp;"% of Selling Price)")</f>
        <v>Downpayment (20% of Selling Price)</v>
      </c>
      <c r="G33" s="13">
        <f>ROUND((G24+G25)*(A33/100),2)</f>
        <v>1076391</v>
      </c>
    </row>
    <row r="34" spans="1:8" ht="13.5" thickBot="1">
      <c r="A34" s="19"/>
      <c r="B34" s="1" t="s">
        <v>42</v>
      </c>
      <c r="G34" s="13">
        <f>ROUND(G29*(A33/100),2)</f>
        <v>57663.8</v>
      </c>
      <c r="H34" s="13"/>
    </row>
    <row r="35" spans="1:8" s="25" customFormat="1" ht="13.5" thickTop="1">
      <c r="A35" s="151" t="s">
        <v>43</v>
      </c>
      <c r="B35" s="153"/>
      <c r="C35" s="153"/>
      <c r="D35" s="153"/>
      <c r="E35" s="153"/>
      <c r="F35" s="154" t="s">
        <v>10</v>
      </c>
      <c r="G35" s="155">
        <f>SUM(G33:G34)</f>
        <v>1134054.8</v>
      </c>
      <c r="H35" s="35"/>
    </row>
    <row r="36" spans="1:7" ht="13.5" thickBot="1">
      <c r="A36" s="1" t="s">
        <v>11</v>
      </c>
      <c r="B36" s="1" t="s">
        <v>29</v>
      </c>
      <c r="F36" s="17">
        <f ca="1">NOW()</f>
        <v>44211.77902361111</v>
      </c>
      <c r="G36" s="13">
        <v>20000</v>
      </c>
    </row>
    <row r="37" spans="1:7" ht="13.5" thickTop="1">
      <c r="A37" s="151" t="s">
        <v>44</v>
      </c>
      <c r="B37" s="153"/>
      <c r="C37" s="153"/>
      <c r="D37" s="153"/>
      <c r="E37" s="157"/>
      <c r="F37" s="154" t="s">
        <v>10</v>
      </c>
      <c r="G37" s="155">
        <f>G35-G36</f>
        <v>1114054.8</v>
      </c>
    </row>
    <row r="38" spans="1:2" ht="12.75">
      <c r="A38" s="6">
        <v>20</v>
      </c>
      <c r="B38" s="6">
        <f>VALUE(0)</f>
        <v>0</v>
      </c>
    </row>
    <row r="39" spans="5:7" ht="12.75">
      <c r="E39" s="158" t="s">
        <v>106</v>
      </c>
      <c r="F39" s="17">
        <f>F36+29</f>
        <v>44240.77902361111</v>
      </c>
      <c r="G39" s="159">
        <f>G37</f>
        <v>1114054.8</v>
      </c>
    </row>
    <row r="41" ht="12.75">
      <c r="A41" s="156" t="s">
        <v>86</v>
      </c>
    </row>
    <row r="42" spans="2:6" ht="12.75">
      <c r="B42" s="1" t="s">
        <v>87</v>
      </c>
      <c r="F42" s="160">
        <f>F39</f>
        <v>44240.77902361111</v>
      </c>
    </row>
    <row r="43" spans="2:7" ht="12.75">
      <c r="B43" s="1" t="s">
        <v>88</v>
      </c>
      <c r="F43" s="160">
        <f>F36+30</f>
        <v>44241.77902361111</v>
      </c>
      <c r="G43" s="159">
        <f>G30-G35</f>
        <v>4536219.226663001</v>
      </c>
    </row>
    <row r="44" spans="1:7" s="25" customFormat="1" ht="12.75">
      <c r="A44" s="1"/>
      <c r="B44" s="1" t="s">
        <v>89</v>
      </c>
      <c r="C44" s="1"/>
      <c r="D44" s="1"/>
      <c r="E44" s="1"/>
      <c r="F44" s="1"/>
      <c r="G44" s="1"/>
    </row>
    <row r="46" spans="1:4" ht="12.75" customHeight="1">
      <c r="A46" s="20" t="s">
        <v>31</v>
      </c>
      <c r="B46" s="21"/>
      <c r="C46" s="21"/>
      <c r="D46" s="21"/>
    </row>
    <row r="47" spans="1:7" s="25" customFormat="1" ht="12.75">
      <c r="A47" s="170" t="s">
        <v>91</v>
      </c>
      <c r="B47" s="170"/>
      <c r="C47" s="170"/>
      <c r="D47" s="170"/>
      <c r="E47" s="170"/>
      <c r="F47" s="170"/>
      <c r="G47" s="170"/>
    </row>
    <row r="48" spans="1:4" ht="12.75">
      <c r="A48" s="21" t="s">
        <v>32</v>
      </c>
      <c r="B48" s="21"/>
      <c r="C48" s="21"/>
      <c r="D48" s="21"/>
    </row>
    <row r="49" spans="1:4" ht="12.75">
      <c r="A49" s="21" t="s">
        <v>33</v>
      </c>
      <c r="B49" s="21"/>
      <c r="C49" s="21"/>
      <c r="D49" s="21"/>
    </row>
    <row r="50" spans="1:4" ht="12.75">
      <c r="A50" s="21" t="s">
        <v>34</v>
      </c>
      <c r="B50" s="21"/>
      <c r="C50" s="21"/>
      <c r="D50" s="21"/>
    </row>
    <row r="51" spans="1:4" ht="12.75">
      <c r="A51" s="22" t="s">
        <v>35</v>
      </c>
      <c r="B51" s="21"/>
      <c r="C51" s="21"/>
      <c r="D51" s="21"/>
    </row>
    <row r="52" spans="1:4" ht="12.75">
      <c r="A52" s="22" t="s">
        <v>36</v>
      </c>
      <c r="B52" s="21"/>
      <c r="C52" s="21"/>
      <c r="D52" s="21"/>
    </row>
    <row r="53" spans="1:4" ht="12.75">
      <c r="A53" s="22" t="s">
        <v>37</v>
      </c>
      <c r="B53" s="21"/>
      <c r="C53" s="21"/>
      <c r="D53" s="21"/>
    </row>
    <row r="54" spans="1:4" ht="12.75">
      <c r="A54" s="22" t="s">
        <v>38</v>
      </c>
      <c r="B54" s="21"/>
      <c r="C54" s="21"/>
      <c r="D54" s="21"/>
    </row>
    <row r="55" spans="1:4" ht="12.75">
      <c r="A55" s="22" t="s">
        <v>39</v>
      </c>
      <c r="B55" s="21"/>
      <c r="C55" s="21"/>
      <c r="D55" s="21"/>
    </row>
    <row r="56" spans="1:7" s="25" customFormat="1" ht="12.75">
      <c r="A56" s="170" t="s">
        <v>92</v>
      </c>
      <c r="B56" s="170"/>
      <c r="C56" s="170"/>
      <c r="D56" s="170"/>
      <c r="E56" s="170"/>
      <c r="F56" s="170"/>
      <c r="G56" s="170"/>
    </row>
    <row r="57" spans="1:7" ht="12.75" customHeight="1">
      <c r="A57" s="172"/>
      <c r="B57" s="172"/>
      <c r="C57" s="172"/>
      <c r="D57" s="172"/>
      <c r="E57" s="172"/>
      <c r="F57" s="172"/>
      <c r="G57" s="172"/>
    </row>
    <row r="58" spans="1:7" ht="12.75" customHeight="1">
      <c r="A58" s="171"/>
      <c r="B58" s="171"/>
      <c r="C58" s="171"/>
      <c r="D58" s="171"/>
      <c r="E58" s="171"/>
      <c r="F58" s="171"/>
      <c r="G58" s="171"/>
    </row>
    <row r="61" spans="1:5" ht="12.75" customHeight="1">
      <c r="A61" s="1" t="s">
        <v>96</v>
      </c>
      <c r="E61" s="1" t="s">
        <v>97</v>
      </c>
    </row>
    <row r="64" spans="1:7" ht="12.75" customHeight="1">
      <c r="A64" s="161"/>
      <c r="B64" s="161"/>
      <c r="C64" s="161"/>
      <c r="E64" s="161"/>
      <c r="F64" s="161"/>
      <c r="G64" s="161"/>
    </row>
    <row r="65" spans="1:5" ht="12.75" customHeight="1">
      <c r="A65" s="1" t="s">
        <v>98</v>
      </c>
      <c r="E65" s="1" t="s">
        <v>98</v>
      </c>
    </row>
    <row r="66" spans="1:5" ht="12.75" customHeight="1">
      <c r="A66" s="1" t="s">
        <v>107</v>
      </c>
      <c r="E66" s="1" t="s">
        <v>108</v>
      </c>
    </row>
    <row r="69" ht="12.75" customHeight="1">
      <c r="A69" s="1" t="s">
        <v>101</v>
      </c>
    </row>
    <row r="72" spans="1:3" ht="12.75" customHeight="1">
      <c r="A72" s="161"/>
      <c r="B72" s="161"/>
      <c r="C72" s="161"/>
    </row>
    <row r="73" ht="12.75" customHeight="1">
      <c r="A73" s="1" t="s">
        <v>98</v>
      </c>
    </row>
    <row r="74" ht="12.75" customHeight="1">
      <c r="A74" s="1" t="s">
        <v>102</v>
      </c>
    </row>
  </sheetData>
  <sheetProtection/>
  <mergeCells count="9">
    <mergeCell ref="A58:G58"/>
    <mergeCell ref="A47:G47"/>
    <mergeCell ref="A56:G56"/>
    <mergeCell ref="A57:G57"/>
    <mergeCell ref="B1:F1"/>
    <mergeCell ref="B2:F2"/>
    <mergeCell ref="A3:G3"/>
    <mergeCell ref="F6:G6"/>
    <mergeCell ref="F7:G7"/>
  </mergeCells>
  <conditionalFormatting sqref="D4">
    <cfRule type="expression" priority="1" dxfId="41" stopIfTrue="1">
      <formula>G5&lt;=TODAY()</formula>
    </cfRule>
  </conditionalFormatting>
  <printOptions horizontalCentered="1"/>
  <pageMargins left="0.2362204724409449" right="0.2362204724409449" top="0.5118110236220472" bottom="0.5118110236220472" header="0.5118110236220472" footer="0.5118110236220472"/>
  <pageSetup fitToHeight="1" fitToWidth="1" horizontalDpi="300" verticalDpi="3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00"/>
  <sheetViews>
    <sheetView zoomScalePageLayoutView="0" workbookViewId="0" topLeftCell="A1">
      <selection activeCell="D38" sqref="D38"/>
    </sheetView>
  </sheetViews>
  <sheetFormatPr defaultColWidth="12.375" defaultRowHeight="12.75" customHeight="1"/>
  <cols>
    <col min="1" max="4" width="12.375" style="25" customWidth="1"/>
    <col min="5" max="6" width="14.625" style="25" customWidth="1"/>
    <col min="7" max="7" width="18.00390625" style="25" customWidth="1"/>
    <col min="8" max="9" width="15.00390625" style="25" customWidth="1"/>
    <col min="10" max="10" width="14.125" style="25" customWidth="1"/>
    <col min="11" max="16384" width="12.375" style="25" customWidth="1"/>
  </cols>
  <sheetData>
    <row r="1" spans="1:7" ht="14.25" customHeight="1" thickTop="1">
      <c r="A1" s="23"/>
      <c r="B1" s="175" t="s">
        <v>1</v>
      </c>
      <c r="C1" s="175"/>
      <c r="D1" s="175"/>
      <c r="E1" s="175"/>
      <c r="F1" s="175"/>
      <c r="G1" s="24"/>
    </row>
    <row r="2" spans="1:7" ht="14.25" customHeight="1">
      <c r="A2" s="26"/>
      <c r="B2" s="176" t="s">
        <v>2</v>
      </c>
      <c r="C2" s="176"/>
      <c r="D2" s="176"/>
      <c r="E2" s="176"/>
      <c r="F2" s="176"/>
      <c r="G2" s="27"/>
    </row>
    <row r="3" spans="1:7" ht="30" customHeight="1">
      <c r="A3" s="166" t="s">
        <v>90</v>
      </c>
      <c r="B3" s="167"/>
      <c r="C3" s="167"/>
      <c r="D3" s="167"/>
      <c r="E3" s="167"/>
      <c r="F3" s="167"/>
      <c r="G3" s="168"/>
    </row>
    <row r="4" spans="1:7" ht="15" customHeight="1" thickBot="1">
      <c r="A4" s="61">
        <f>IF(A47&lt;=12,12,A47)</f>
        <v>12</v>
      </c>
      <c r="B4" s="62"/>
      <c r="C4" s="62"/>
      <c r="D4" s="63" t="str">
        <f>IF(A47&gt;G5,"TERM IS SUBJECT FOR APPROVAL","SAMPLE COMPUTATION ONLY")</f>
        <v>SAMPLE COMPUTATION ONLY</v>
      </c>
      <c r="E4" s="62"/>
      <c r="F4" s="62"/>
      <c r="G4" s="64"/>
    </row>
    <row r="5" spans="1:7" ht="13.5" customHeight="1" thickTop="1">
      <c r="A5" s="65"/>
      <c r="B5" s="65"/>
      <c r="C5" s="65"/>
      <c r="D5" s="65"/>
      <c r="E5" s="65"/>
      <c r="F5" s="65"/>
      <c r="G5" s="66">
        <v>24</v>
      </c>
    </row>
    <row r="6" spans="1:7" ht="12.75">
      <c r="A6" s="67" t="s">
        <v>3</v>
      </c>
      <c r="B6" s="67" t="s">
        <v>4</v>
      </c>
      <c r="C6" s="67" t="s">
        <v>5</v>
      </c>
      <c r="D6" s="67" t="s">
        <v>6</v>
      </c>
      <c r="E6" s="67"/>
      <c r="F6" s="169" t="s">
        <v>7</v>
      </c>
      <c r="G6" s="169"/>
    </row>
    <row r="7" spans="1:7" ht="12.75">
      <c r="A7" s="68">
        <v>3</v>
      </c>
      <c r="B7" s="68">
        <v>711</v>
      </c>
      <c r="C7" s="68">
        <v>7</v>
      </c>
      <c r="D7" s="68">
        <v>23.16</v>
      </c>
      <c r="E7" s="68"/>
      <c r="F7" s="164" t="s">
        <v>8</v>
      </c>
      <c r="G7" s="164"/>
    </row>
    <row r="8" spans="1:7" ht="12.75" customHeight="1">
      <c r="A8" s="65"/>
      <c r="B8" s="65"/>
      <c r="C8" s="65"/>
      <c r="D8" s="65"/>
      <c r="E8" s="65"/>
      <c r="F8" s="65"/>
      <c r="G8" s="65"/>
    </row>
    <row r="9" spans="1:7" ht="12.75" customHeight="1">
      <c r="A9" s="65"/>
      <c r="B9" s="65"/>
      <c r="C9" s="65"/>
      <c r="D9" s="65"/>
      <c r="E9" s="65"/>
      <c r="F9" s="65"/>
      <c r="G9" s="65"/>
    </row>
    <row r="10" spans="1:7" ht="12.75">
      <c r="A10" s="69" t="s">
        <v>9</v>
      </c>
      <c r="B10" s="69"/>
      <c r="C10" s="70"/>
      <c r="D10" s="71"/>
      <c r="E10" s="71"/>
      <c r="F10" s="72" t="s">
        <v>10</v>
      </c>
      <c r="G10" s="73">
        <v>5409000</v>
      </c>
    </row>
    <row r="11" spans="1:7" ht="12.75">
      <c r="A11" s="25" t="s">
        <v>11</v>
      </c>
      <c r="B11" s="25" t="s">
        <v>12</v>
      </c>
      <c r="C11" s="31"/>
      <c r="F11" s="32"/>
      <c r="G11" s="33">
        <f>ROUND(IF(ISERROR(FIND("PARKING",Model,1)),IF(SellingPrice&gt;3199200,(G10-(G10/1.12)),0),(G10-(G10/1.12))),2)</f>
        <v>579535.71</v>
      </c>
    </row>
    <row r="12" spans="1:10" ht="12.75">
      <c r="A12" s="34">
        <v>5</v>
      </c>
      <c r="B12" s="25" t="str">
        <f>CONCATENATE(A12,"% Discount on ",A39,"% SFDP")</f>
        <v>5% Discount on 10% SFDP</v>
      </c>
      <c r="F12" s="32"/>
      <c r="G12" s="35">
        <f>((G10-G11)-Discount2Value)*(PercentageDiscount/100)*(SpotDownpayment/100)</f>
        <v>24147.321450000003</v>
      </c>
      <c r="I12" s="35"/>
      <c r="J12" s="35"/>
    </row>
    <row r="13" spans="2:10" ht="12.75" hidden="1">
      <c r="B13" s="25" t="s">
        <v>13</v>
      </c>
      <c r="G13" s="35">
        <v>0</v>
      </c>
      <c r="I13" s="35"/>
      <c r="J13" s="35"/>
    </row>
    <row r="14" spans="2:10" ht="12.75" hidden="1">
      <c r="B14" s="25" t="s">
        <v>14</v>
      </c>
      <c r="G14" s="35">
        <v>0</v>
      </c>
      <c r="I14" s="35"/>
      <c r="J14" s="35"/>
    </row>
    <row r="15" spans="2:9" ht="12.75" hidden="1">
      <c r="B15" s="25" t="s">
        <v>15</v>
      </c>
      <c r="G15" s="35">
        <v>0</v>
      </c>
      <c r="I15" s="35"/>
    </row>
    <row r="16" spans="2:9" ht="12.75" hidden="1">
      <c r="B16" s="25" t="s">
        <v>16</v>
      </c>
      <c r="D16" s="177"/>
      <c r="E16" s="177"/>
      <c r="F16" s="177"/>
      <c r="G16" s="35">
        <v>0</v>
      </c>
      <c r="I16" s="35"/>
    </row>
    <row r="17" spans="2:9" ht="12.75" hidden="1">
      <c r="B17" s="25" t="s">
        <v>109</v>
      </c>
      <c r="G17" s="35">
        <v>0</v>
      </c>
      <c r="I17" s="35"/>
    </row>
    <row r="18" spans="2:10" ht="12.75" hidden="1">
      <c r="B18" s="25" t="s">
        <v>18</v>
      </c>
      <c r="G18" s="35">
        <v>0</v>
      </c>
      <c r="H18" s="35"/>
      <c r="I18" s="35"/>
      <c r="J18" s="35"/>
    </row>
    <row r="19" spans="2:10" ht="12.75" hidden="1">
      <c r="B19" s="25" t="s">
        <v>19</v>
      </c>
      <c r="G19" s="35">
        <v>0</v>
      </c>
      <c r="J19" s="35"/>
    </row>
    <row r="20" spans="2:10" ht="12.75" hidden="1">
      <c r="B20" s="25" t="s">
        <v>20</v>
      </c>
      <c r="G20" s="35">
        <v>0</v>
      </c>
      <c r="J20" s="35"/>
    </row>
    <row r="21" spans="2:10" ht="12.75" hidden="1">
      <c r="B21" s="25" t="s">
        <v>21</v>
      </c>
      <c r="G21" s="35">
        <v>0</v>
      </c>
      <c r="J21" s="35"/>
    </row>
    <row r="22" spans="2:10" ht="12.75" hidden="1">
      <c r="B22" s="25" t="s">
        <v>22</v>
      </c>
      <c r="G22" s="35">
        <v>0</v>
      </c>
      <c r="J22" s="35"/>
    </row>
    <row r="23" spans="6:10" ht="13.5" customHeight="1" thickBot="1">
      <c r="F23" s="32"/>
      <c r="G23" s="36"/>
      <c r="J23" s="35"/>
    </row>
    <row r="24" spans="1:7" ht="13.5" customHeight="1" thickTop="1">
      <c r="A24" s="28" t="s">
        <v>40</v>
      </c>
      <c r="B24" s="37"/>
      <c r="C24" s="29"/>
      <c r="D24" s="29"/>
      <c r="E24" s="29"/>
      <c r="F24" s="30" t="s">
        <v>10</v>
      </c>
      <c r="G24" s="38">
        <f>(SellingPrice-G11)-SUM(G12:G22)</f>
        <v>4805316.96855</v>
      </c>
    </row>
    <row r="25" spans="1:9" ht="12.75">
      <c r="A25" s="25" t="s">
        <v>24</v>
      </c>
      <c r="B25" s="25" t="s">
        <v>12</v>
      </c>
      <c r="G25" s="35">
        <f>ROUND(IF(ISERROR(FIND("PARKING",Model,1)),IF(G24&gt;3199200,G24*12%,0),G24*12%),2)</f>
        <v>576638.04</v>
      </c>
      <c r="I25" s="35"/>
    </row>
    <row r="26" spans="1:7" ht="12.75" hidden="1">
      <c r="A26" s="34">
        <v>7</v>
      </c>
      <c r="B26" s="25" t="s">
        <v>25</v>
      </c>
      <c r="G26" s="35">
        <f>ROUND(G24*(A26/100),2)</f>
        <v>336372.19</v>
      </c>
    </row>
    <row r="27" spans="1:7" ht="12.75" hidden="1">
      <c r="A27" s="34"/>
      <c r="B27" s="25" t="s">
        <v>26</v>
      </c>
      <c r="F27" s="34">
        <f>IF(G27&gt;50000,50000,G27)</f>
        <v>0</v>
      </c>
      <c r="G27" s="35">
        <v>0</v>
      </c>
    </row>
    <row r="28" spans="1:7" ht="12.75" hidden="1">
      <c r="A28" s="34"/>
      <c r="B28" s="25" t="s">
        <v>27</v>
      </c>
      <c r="G28" s="35">
        <v>0</v>
      </c>
    </row>
    <row r="29" spans="1:7" ht="13.5" customHeight="1" thickBot="1">
      <c r="A29" s="34"/>
      <c r="B29" s="25" t="s">
        <v>25</v>
      </c>
      <c r="G29" s="35">
        <f>ROUND(SUM(G26,G28,F27),2)</f>
        <v>336372.19</v>
      </c>
    </row>
    <row r="30" spans="1:7" ht="13.5" customHeight="1" thickTop="1">
      <c r="A30" s="28" t="s">
        <v>28</v>
      </c>
      <c r="B30" s="29"/>
      <c r="C30" s="29"/>
      <c r="D30" s="29"/>
      <c r="E30" s="29"/>
      <c r="F30" s="30" t="s">
        <v>10</v>
      </c>
      <c r="G30" s="38">
        <f>G24+SUM(G25,G29)</f>
        <v>5718327.198550001</v>
      </c>
    </row>
    <row r="32" ht="12.75">
      <c r="A32" s="39" t="s">
        <v>41</v>
      </c>
    </row>
    <row r="33" spans="1:7" ht="12.75">
      <c r="A33" s="40">
        <v>20</v>
      </c>
      <c r="B33" s="25" t="str">
        <f>CONCATENATE("Downpayment ("&amp;A33&amp;"% of Selling Price)")</f>
        <v>Downpayment (20% of Selling Price)</v>
      </c>
      <c r="G33" s="35">
        <f>ROUND((G24+G25)*(A33/100),2)</f>
        <v>1076391</v>
      </c>
    </row>
    <row r="34" spans="1:7" ht="13.5" customHeight="1" thickBot="1">
      <c r="A34" s="39"/>
      <c r="B34" s="25" t="s">
        <v>42</v>
      </c>
      <c r="G34" s="35">
        <f>ROUND(G29*(A33/100),2)</f>
        <v>67274.44</v>
      </c>
    </row>
    <row r="35" spans="1:7" ht="13.5" customHeight="1" thickTop="1">
      <c r="A35" s="28" t="s">
        <v>43</v>
      </c>
      <c r="B35" s="29"/>
      <c r="C35" s="29"/>
      <c r="D35" s="29"/>
      <c r="E35" s="29"/>
      <c r="F35" s="30" t="s">
        <v>10</v>
      </c>
      <c r="G35" s="38">
        <f>SUM(G33:G34)</f>
        <v>1143665.44</v>
      </c>
    </row>
    <row r="36" spans="1:7" ht="13.5" customHeight="1" thickBot="1">
      <c r="A36" s="25" t="s">
        <v>11</v>
      </c>
      <c r="B36" s="25" t="s">
        <v>29</v>
      </c>
      <c r="F36" s="41">
        <f ca="1">NOW()</f>
        <v>44211.77902361111</v>
      </c>
      <c r="G36" s="35">
        <v>20000</v>
      </c>
    </row>
    <row r="37" spans="1:7" ht="13.5" customHeight="1" thickTop="1">
      <c r="A37" s="28" t="s">
        <v>44</v>
      </c>
      <c r="B37" s="29"/>
      <c r="C37" s="29"/>
      <c r="D37" s="29"/>
      <c r="E37" s="42"/>
      <c r="F37" s="30" t="s">
        <v>10</v>
      </c>
      <c r="G37" s="38">
        <f>G35-G36</f>
        <v>1123665.44</v>
      </c>
    </row>
    <row r="39" spans="1:10" ht="12.75">
      <c r="A39" s="34">
        <v>10</v>
      </c>
      <c r="B39" s="25" t="str">
        <f>CONCATENATE("Spot Downpayment ("&amp;A39&amp;"% of Selling Price)")</f>
        <v>Spot Downpayment (10% of Selling Price)</v>
      </c>
      <c r="E39" s="43"/>
      <c r="F39" s="41"/>
      <c r="G39" s="35">
        <f>ROUND((SUM(G24:G25)*(A39/100))-G36,2)</f>
        <v>518195.5</v>
      </c>
      <c r="H39" s="35"/>
      <c r="I39" s="35"/>
      <c r="J39" s="44"/>
    </row>
    <row r="40" spans="2:10" ht="13.5" customHeight="1" thickBot="1">
      <c r="B40" s="25" t="s">
        <v>25</v>
      </c>
      <c r="E40" s="43"/>
      <c r="F40" s="41"/>
      <c r="G40" s="35">
        <f>ROUND(G29*(A39/100),2)</f>
        <v>33637.22</v>
      </c>
      <c r="J40" s="35"/>
    </row>
    <row r="41" spans="2:7" ht="13.5" customHeight="1" thickTop="1">
      <c r="B41" s="45" t="s">
        <v>45</v>
      </c>
      <c r="E41" s="43"/>
      <c r="F41" s="149">
        <f>ReservationDate+29</f>
        <v>44240.77902361111</v>
      </c>
      <c r="G41" s="46">
        <f>SUM(G39:G40)</f>
        <v>551832.72</v>
      </c>
    </row>
    <row r="42" spans="2:7" ht="12.75">
      <c r="B42" s="47"/>
      <c r="E42" s="43"/>
      <c r="F42" s="41"/>
      <c r="G42" s="48"/>
    </row>
    <row r="43" spans="1:7" ht="12.75">
      <c r="A43" s="34">
        <f>A33-A39</f>
        <v>10</v>
      </c>
      <c r="B43" s="49" t="str">
        <f>CONCATENATE("Streched Downpayment ("&amp;A43&amp;"% of Selling Price)")</f>
        <v>Streched Downpayment (10% of Selling Price)</v>
      </c>
      <c r="E43" s="43"/>
      <c r="F43" s="41"/>
      <c r="G43" s="35">
        <f>G33-G39-ReservationFee</f>
        <v>538195.5</v>
      </c>
    </row>
    <row r="44" spans="2:7" ht="13.5" customHeight="1" thickBot="1">
      <c r="B44" s="49" t="s">
        <v>25</v>
      </c>
      <c r="E44" s="43"/>
      <c r="F44" s="41"/>
      <c r="G44" s="35">
        <f>SUM(G34:G34)-G40</f>
        <v>33637.22</v>
      </c>
    </row>
    <row r="45" spans="2:7" ht="13.5" customHeight="1" thickTop="1">
      <c r="B45" s="45" t="str">
        <f>CONCATENATE("Total Streched DP and Other Charges payable in "&amp;A47&amp;" months")</f>
        <v>Total Streched DP and Other Charges payable in 6 months</v>
      </c>
      <c r="E45" s="43"/>
      <c r="F45" s="41"/>
      <c r="G45" s="46">
        <f>SUM(G43:G44)</f>
        <v>571832.72</v>
      </c>
    </row>
    <row r="46" spans="2:7" ht="12.75">
      <c r="B46" s="49"/>
      <c r="E46" s="43"/>
      <c r="F46" s="41"/>
      <c r="G46" s="48"/>
    </row>
    <row r="47" spans="1:7" ht="25.5" customHeight="1">
      <c r="A47" s="50">
        <v>6</v>
      </c>
      <c r="B47" s="174" t="s">
        <v>46</v>
      </c>
      <c r="C47" s="174"/>
      <c r="D47" s="51" t="s">
        <v>47</v>
      </c>
      <c r="E47" s="52" t="s">
        <v>48</v>
      </c>
      <c r="F47" s="53" t="s">
        <v>25</v>
      </c>
      <c r="G47" s="54" t="s">
        <v>49</v>
      </c>
    </row>
    <row r="48" spans="1:7" ht="12.75">
      <c r="A48" s="173" t="s">
        <v>50</v>
      </c>
      <c r="B48" s="173"/>
      <c r="C48" s="173"/>
      <c r="D48" s="55">
        <f>IF(AND(DAY(F41)&gt;2,DAY(F41)&lt;19),DATE(YEAR(F41+30),MONTH(F41+30),DAY(17)),DATE(YEAR(F41+30),IF(DAY(F41)&gt;18,MONTH(F41+30)+1,MONTH(F41+30)),DAY(2)))</f>
        <v>44272</v>
      </c>
      <c r="E48" s="33">
        <f>ROUND(G43/A47,2)</f>
        <v>89699.25</v>
      </c>
      <c r="F48" s="56">
        <f>ROUND(G44/A47,2)</f>
        <v>5606.2</v>
      </c>
      <c r="G48" s="35">
        <f>SUM(E48:F48)</f>
        <v>95305.45</v>
      </c>
    </row>
    <row r="49" spans="1:7" ht="12.75">
      <c r="A49" s="173" t="s">
        <v>51</v>
      </c>
      <c r="B49" s="173"/>
      <c r="C49" s="173"/>
      <c r="D49" s="55">
        <f>IF($A$47&lt;VALUE(LEFT(A49,1))," ",DATE(YEAR(D48+30),MONTH(D48+30),DAY(D48)))</f>
        <v>44303</v>
      </c>
      <c r="E49" s="33">
        <f>IF($A$47&lt;VALUE(LEFT(A49,1))," ",IF($A$47=VALUE(LEFT(A49,1)),$G$43-($E$48*($A$47-1)),E48))</f>
        <v>89699.25</v>
      </c>
      <c r="F49" s="56">
        <f>IF($A$47&lt;VALUE(LEFT(A49,1))," ",IF($A$47=VALUE(LEFT(A49,1)),$G$44-($F$48*($A$47-1)),F48))</f>
        <v>5606.2</v>
      </c>
      <c r="G49" s="35">
        <f>IF($A$47&lt;VALUE(LEFT(A49,1))," ",SUM(E49:F49))</f>
        <v>95305.45</v>
      </c>
    </row>
    <row r="50" spans="1:7" ht="12.75">
      <c r="A50" s="173" t="s">
        <v>52</v>
      </c>
      <c r="B50" s="173"/>
      <c r="C50" s="173"/>
      <c r="D50" s="55">
        <f>IF($A$47&lt;VALUE(LEFT(A50,1))," ",DATE(YEAR(D49+30),MONTH(D49+30),DAY(D49)))</f>
        <v>44333</v>
      </c>
      <c r="E50" s="33">
        <f aca="true" t="shared" si="0" ref="E50:E56">IF($A$47&lt;VALUE(LEFT(A50,1))," ",IF($A$47=VALUE(LEFT(A50,1)),$G$43-($E$48*($A$47-1)),E49))</f>
        <v>89699.25</v>
      </c>
      <c r="F50" s="56">
        <f aca="true" t="shared" si="1" ref="F50:F56">IF($A$47&lt;VALUE(LEFT(A50,1))," ",IF($A$47=VALUE(LEFT(A50,1)),$G$44-($F$48*($A$47-1)),F49))</f>
        <v>5606.2</v>
      </c>
      <c r="G50" s="35">
        <f aca="true" t="shared" si="2" ref="G50:G56">IF($A$47&lt;VALUE(LEFT(A50,1))," ",SUM(E50:F50))</f>
        <v>95305.45</v>
      </c>
    </row>
    <row r="51" spans="1:7" ht="12.75">
      <c r="A51" s="173" t="s">
        <v>53</v>
      </c>
      <c r="B51" s="173"/>
      <c r="C51" s="173"/>
      <c r="D51" s="55">
        <f aca="true" t="shared" si="3" ref="D51:D56">IF($A$47&lt;VALUE(LEFT(A51,1))," ",DATE(YEAR(D50+30),MONTH(D50+30),DAY(D50)))</f>
        <v>44364</v>
      </c>
      <c r="E51" s="33">
        <f t="shared" si="0"/>
        <v>89699.25</v>
      </c>
      <c r="F51" s="56">
        <f t="shared" si="1"/>
        <v>5606.2</v>
      </c>
      <c r="G51" s="35">
        <f t="shared" si="2"/>
        <v>95305.45</v>
      </c>
    </row>
    <row r="52" spans="1:7" ht="12.75">
      <c r="A52" s="173" t="s">
        <v>54</v>
      </c>
      <c r="B52" s="173"/>
      <c r="C52" s="173"/>
      <c r="D52" s="55">
        <f t="shared" si="3"/>
        <v>44394</v>
      </c>
      <c r="E52" s="33">
        <f t="shared" si="0"/>
        <v>89699.25</v>
      </c>
      <c r="F52" s="56">
        <f t="shared" si="1"/>
        <v>5606.2</v>
      </c>
      <c r="G52" s="35">
        <f t="shared" si="2"/>
        <v>95305.45</v>
      </c>
    </row>
    <row r="53" spans="1:7" ht="12.75">
      <c r="A53" s="173" t="s">
        <v>55</v>
      </c>
      <c r="B53" s="173"/>
      <c r="C53" s="173"/>
      <c r="D53" s="55">
        <f t="shared" si="3"/>
        <v>44425</v>
      </c>
      <c r="E53" s="33">
        <f t="shared" si="0"/>
        <v>89699.25</v>
      </c>
      <c r="F53" s="56">
        <f t="shared" si="1"/>
        <v>5606.220000000001</v>
      </c>
      <c r="G53" s="35">
        <f t="shared" si="2"/>
        <v>95305.47</v>
      </c>
    </row>
    <row r="54" spans="1:7" ht="12.75" hidden="1">
      <c r="A54" s="173" t="s">
        <v>56</v>
      </c>
      <c r="B54" s="173"/>
      <c r="C54" s="173"/>
      <c r="D54" s="55" t="str">
        <f t="shared" si="3"/>
        <v> </v>
      </c>
      <c r="E54" s="33" t="str">
        <f t="shared" si="0"/>
        <v> </v>
      </c>
      <c r="F54" s="56" t="str">
        <f t="shared" si="1"/>
        <v> </v>
      </c>
      <c r="G54" s="35" t="str">
        <f t="shared" si="2"/>
        <v> </v>
      </c>
    </row>
    <row r="55" spans="1:7" ht="12.75" hidden="1">
      <c r="A55" s="173" t="s">
        <v>57</v>
      </c>
      <c r="B55" s="173"/>
      <c r="C55" s="173"/>
      <c r="D55" s="55" t="str">
        <f t="shared" si="3"/>
        <v> </v>
      </c>
      <c r="E55" s="33" t="str">
        <f t="shared" si="0"/>
        <v> </v>
      </c>
      <c r="F55" s="56" t="str">
        <f t="shared" si="1"/>
        <v> </v>
      </c>
      <c r="G55" s="35" t="str">
        <f t="shared" si="2"/>
        <v> </v>
      </c>
    </row>
    <row r="56" spans="1:7" ht="12.75" hidden="1">
      <c r="A56" s="173" t="s">
        <v>58</v>
      </c>
      <c r="B56" s="173"/>
      <c r="C56" s="173"/>
      <c r="D56" s="55" t="str">
        <f t="shared" si="3"/>
        <v> </v>
      </c>
      <c r="E56" s="33" t="str">
        <f t="shared" si="0"/>
        <v> </v>
      </c>
      <c r="F56" s="56" t="str">
        <f t="shared" si="1"/>
        <v> </v>
      </c>
      <c r="G56" s="35" t="str">
        <f t="shared" si="2"/>
        <v> </v>
      </c>
    </row>
    <row r="57" spans="1:7" ht="12.75" hidden="1">
      <c r="A57" s="173" t="s">
        <v>59</v>
      </c>
      <c r="B57" s="173"/>
      <c r="C57" s="173"/>
      <c r="D57" s="55" t="str">
        <f>IF($A$47&lt;VALUE(LEFT(A57,2))," ",DATE(YEAR(D56+30),MONTH(D56+30),DAY(D56)))</f>
        <v> </v>
      </c>
      <c r="E57" s="33" t="str">
        <f>IF($A$47&lt;VALUE(LEFT(A57,2))," ",IF($A$47=VALUE(LEFT(A57,2)),$G$43-($E$48*($A$47-1)),E56))</f>
        <v> </v>
      </c>
      <c r="F57" s="56" t="str">
        <f>IF($A$47&lt;VALUE(LEFT(A57,2))," ",IF($A$47=VALUE(LEFT(A57,2)),$G$44-($F$48*($A$47-1)),F56))</f>
        <v> </v>
      </c>
      <c r="G57" s="35" t="str">
        <f>IF($A$47&lt;VALUE(LEFT(A57,2))," ",SUM(E57:F57))</f>
        <v> </v>
      </c>
    </row>
    <row r="58" spans="1:7" ht="12.75" hidden="1">
      <c r="A58" s="173" t="s">
        <v>60</v>
      </c>
      <c r="B58" s="173"/>
      <c r="C58" s="173"/>
      <c r="D58" s="55" t="str">
        <f aca="true" t="shared" si="4" ref="D58:D82">IF($A$47&lt;VALUE(LEFT(A58,2))," ",DATE(YEAR(D57+30),MONTH(D57+30),DAY(D57)))</f>
        <v> </v>
      </c>
      <c r="E58" s="33" t="str">
        <f aca="true" t="shared" si="5" ref="E58:E82">IF($A$47&lt;VALUE(LEFT(A58,2))," ",IF($A$47=VALUE(LEFT(A58,2)),$G$43-($E$48*($A$47-1)),E57))</f>
        <v> </v>
      </c>
      <c r="F58" s="56" t="str">
        <f aca="true" t="shared" si="6" ref="F58:F82">IF($A$47&lt;VALUE(LEFT(A58,2))," ",IF($A$47=VALUE(LEFT(A58,2)),$G$44-($F$48*($A$47-1)),F57))</f>
        <v> </v>
      </c>
      <c r="G58" s="35" t="str">
        <f aca="true" t="shared" si="7" ref="G58:G82">IF($A$47&lt;VALUE(LEFT(A58,2))," ",SUM(E58:F58))</f>
        <v> </v>
      </c>
    </row>
    <row r="59" spans="1:7" ht="12.75" hidden="1">
      <c r="A59" s="173" t="s">
        <v>61</v>
      </c>
      <c r="B59" s="173"/>
      <c r="C59" s="173"/>
      <c r="D59" s="55" t="str">
        <f t="shared" si="4"/>
        <v> </v>
      </c>
      <c r="E59" s="33" t="str">
        <f t="shared" si="5"/>
        <v> </v>
      </c>
      <c r="F59" s="56" t="str">
        <f t="shared" si="6"/>
        <v> </v>
      </c>
      <c r="G59" s="35" t="str">
        <f t="shared" si="7"/>
        <v> </v>
      </c>
    </row>
    <row r="60" spans="1:7" ht="12.75" hidden="1">
      <c r="A60" s="173" t="s">
        <v>62</v>
      </c>
      <c r="B60" s="173"/>
      <c r="C60" s="173"/>
      <c r="D60" s="55" t="str">
        <f t="shared" si="4"/>
        <v> </v>
      </c>
      <c r="E60" s="33" t="str">
        <f t="shared" si="5"/>
        <v> </v>
      </c>
      <c r="F60" s="56" t="str">
        <f t="shared" si="6"/>
        <v> </v>
      </c>
      <c r="G60" s="35" t="str">
        <f t="shared" si="7"/>
        <v> </v>
      </c>
    </row>
    <row r="61" spans="1:7" ht="12.75" hidden="1">
      <c r="A61" s="173" t="s">
        <v>63</v>
      </c>
      <c r="B61" s="173"/>
      <c r="C61" s="173"/>
      <c r="D61" s="55" t="str">
        <f t="shared" si="4"/>
        <v> </v>
      </c>
      <c r="E61" s="33" t="str">
        <f t="shared" si="5"/>
        <v> </v>
      </c>
      <c r="F61" s="56" t="str">
        <f t="shared" si="6"/>
        <v> </v>
      </c>
      <c r="G61" s="35" t="str">
        <f t="shared" si="7"/>
        <v> </v>
      </c>
    </row>
    <row r="62" spans="1:7" ht="12.75" hidden="1">
      <c r="A62" s="173" t="s">
        <v>64</v>
      </c>
      <c r="B62" s="173"/>
      <c r="C62" s="173"/>
      <c r="D62" s="55" t="str">
        <f t="shared" si="4"/>
        <v> </v>
      </c>
      <c r="E62" s="33" t="str">
        <f t="shared" si="5"/>
        <v> </v>
      </c>
      <c r="F62" s="56" t="str">
        <f t="shared" si="6"/>
        <v> </v>
      </c>
      <c r="G62" s="35" t="str">
        <f t="shared" si="7"/>
        <v> </v>
      </c>
    </row>
    <row r="63" spans="1:7" ht="12.75" hidden="1">
      <c r="A63" s="173" t="s">
        <v>65</v>
      </c>
      <c r="B63" s="173"/>
      <c r="C63" s="173"/>
      <c r="D63" s="55" t="str">
        <f t="shared" si="4"/>
        <v> </v>
      </c>
      <c r="E63" s="33" t="str">
        <f t="shared" si="5"/>
        <v> </v>
      </c>
      <c r="F63" s="56" t="str">
        <f t="shared" si="6"/>
        <v> </v>
      </c>
      <c r="G63" s="35" t="str">
        <f t="shared" si="7"/>
        <v> </v>
      </c>
    </row>
    <row r="64" spans="1:7" ht="12.75" hidden="1">
      <c r="A64" s="173" t="s">
        <v>66</v>
      </c>
      <c r="B64" s="173"/>
      <c r="C64" s="173"/>
      <c r="D64" s="55" t="str">
        <f t="shared" si="4"/>
        <v> </v>
      </c>
      <c r="E64" s="33" t="str">
        <f t="shared" si="5"/>
        <v> </v>
      </c>
      <c r="F64" s="56" t="str">
        <f t="shared" si="6"/>
        <v> </v>
      </c>
      <c r="G64" s="35" t="str">
        <f t="shared" si="7"/>
        <v> </v>
      </c>
    </row>
    <row r="65" spans="1:7" ht="12.75" hidden="1">
      <c r="A65" s="173" t="s">
        <v>67</v>
      </c>
      <c r="B65" s="173"/>
      <c r="C65" s="173"/>
      <c r="D65" s="55" t="str">
        <f t="shared" si="4"/>
        <v> </v>
      </c>
      <c r="E65" s="33" t="str">
        <f t="shared" si="5"/>
        <v> </v>
      </c>
      <c r="F65" s="56" t="str">
        <f t="shared" si="6"/>
        <v> </v>
      </c>
      <c r="G65" s="35" t="str">
        <f t="shared" si="7"/>
        <v> </v>
      </c>
    </row>
    <row r="66" spans="1:7" ht="12.75" hidden="1">
      <c r="A66" s="173" t="s">
        <v>68</v>
      </c>
      <c r="B66" s="173"/>
      <c r="C66" s="173"/>
      <c r="D66" s="55" t="str">
        <f t="shared" si="4"/>
        <v> </v>
      </c>
      <c r="E66" s="33" t="str">
        <f t="shared" si="5"/>
        <v> </v>
      </c>
      <c r="F66" s="56" t="str">
        <f t="shared" si="6"/>
        <v> </v>
      </c>
      <c r="G66" s="35" t="str">
        <f t="shared" si="7"/>
        <v> </v>
      </c>
    </row>
    <row r="67" spans="1:7" ht="12.75" hidden="1">
      <c r="A67" s="173" t="s">
        <v>69</v>
      </c>
      <c r="B67" s="173"/>
      <c r="C67" s="173"/>
      <c r="D67" s="55" t="str">
        <f t="shared" si="4"/>
        <v> </v>
      </c>
      <c r="E67" s="33" t="str">
        <f t="shared" si="5"/>
        <v> </v>
      </c>
      <c r="F67" s="56" t="str">
        <f t="shared" si="6"/>
        <v> </v>
      </c>
      <c r="G67" s="35" t="str">
        <f t="shared" si="7"/>
        <v> </v>
      </c>
    </row>
    <row r="68" spans="1:7" ht="12.75" hidden="1">
      <c r="A68" s="173" t="s">
        <v>70</v>
      </c>
      <c r="B68" s="173"/>
      <c r="C68" s="173"/>
      <c r="D68" s="55" t="str">
        <f t="shared" si="4"/>
        <v> </v>
      </c>
      <c r="E68" s="33" t="str">
        <f t="shared" si="5"/>
        <v> </v>
      </c>
      <c r="F68" s="56" t="str">
        <f t="shared" si="6"/>
        <v> </v>
      </c>
      <c r="G68" s="35" t="str">
        <f t="shared" si="7"/>
        <v> </v>
      </c>
    </row>
    <row r="69" spans="1:7" ht="12.75" hidden="1">
      <c r="A69" s="173" t="s">
        <v>71</v>
      </c>
      <c r="B69" s="173"/>
      <c r="C69" s="173"/>
      <c r="D69" s="55" t="str">
        <f t="shared" si="4"/>
        <v> </v>
      </c>
      <c r="E69" s="33" t="str">
        <f t="shared" si="5"/>
        <v> </v>
      </c>
      <c r="F69" s="56" t="str">
        <f t="shared" si="6"/>
        <v> </v>
      </c>
      <c r="G69" s="35" t="str">
        <f t="shared" si="7"/>
        <v> </v>
      </c>
    </row>
    <row r="70" spans="1:7" ht="12.75" hidden="1">
      <c r="A70" s="173" t="s">
        <v>72</v>
      </c>
      <c r="B70" s="173"/>
      <c r="C70" s="173"/>
      <c r="D70" s="55" t="str">
        <f t="shared" si="4"/>
        <v> </v>
      </c>
      <c r="E70" s="33" t="str">
        <f t="shared" si="5"/>
        <v> </v>
      </c>
      <c r="F70" s="56" t="str">
        <f t="shared" si="6"/>
        <v> </v>
      </c>
      <c r="G70" s="35" t="str">
        <f t="shared" si="7"/>
        <v> </v>
      </c>
    </row>
    <row r="71" spans="1:7" ht="12.75" hidden="1">
      <c r="A71" s="173" t="s">
        <v>73</v>
      </c>
      <c r="B71" s="173"/>
      <c r="C71" s="173"/>
      <c r="D71" s="55" t="str">
        <f t="shared" si="4"/>
        <v> </v>
      </c>
      <c r="E71" s="33" t="str">
        <f t="shared" si="5"/>
        <v> </v>
      </c>
      <c r="F71" s="56" t="str">
        <f t="shared" si="6"/>
        <v> </v>
      </c>
      <c r="G71" s="35" t="str">
        <f t="shared" si="7"/>
        <v> </v>
      </c>
    </row>
    <row r="72" spans="1:7" ht="12.75" hidden="1">
      <c r="A72" s="173" t="s">
        <v>74</v>
      </c>
      <c r="B72" s="173"/>
      <c r="C72" s="173"/>
      <c r="D72" s="55" t="str">
        <f t="shared" si="4"/>
        <v> </v>
      </c>
      <c r="E72" s="33" t="str">
        <f t="shared" si="5"/>
        <v> </v>
      </c>
      <c r="F72" s="56" t="str">
        <f t="shared" si="6"/>
        <v> </v>
      </c>
      <c r="G72" s="35" t="str">
        <f t="shared" si="7"/>
        <v> </v>
      </c>
    </row>
    <row r="73" spans="1:7" ht="12.75" hidden="1">
      <c r="A73" s="173" t="s">
        <v>75</v>
      </c>
      <c r="B73" s="173"/>
      <c r="C73" s="173"/>
      <c r="D73" s="55" t="str">
        <f t="shared" si="4"/>
        <v> </v>
      </c>
      <c r="E73" s="33" t="str">
        <f t="shared" si="5"/>
        <v> </v>
      </c>
      <c r="F73" s="56" t="str">
        <f t="shared" si="6"/>
        <v> </v>
      </c>
      <c r="G73" s="35" t="str">
        <f t="shared" si="7"/>
        <v> </v>
      </c>
    </row>
    <row r="74" spans="1:7" ht="12.75" hidden="1">
      <c r="A74" s="173" t="s">
        <v>76</v>
      </c>
      <c r="B74" s="173"/>
      <c r="C74" s="173"/>
      <c r="D74" s="55" t="str">
        <f t="shared" si="4"/>
        <v> </v>
      </c>
      <c r="E74" s="33" t="str">
        <f t="shared" si="5"/>
        <v> </v>
      </c>
      <c r="F74" s="56" t="str">
        <f t="shared" si="6"/>
        <v> </v>
      </c>
      <c r="G74" s="35" t="str">
        <f t="shared" si="7"/>
        <v> </v>
      </c>
    </row>
    <row r="75" spans="1:7" ht="12.75" hidden="1">
      <c r="A75" s="173" t="s">
        <v>77</v>
      </c>
      <c r="B75" s="173"/>
      <c r="C75" s="173"/>
      <c r="D75" s="55" t="str">
        <f t="shared" si="4"/>
        <v> </v>
      </c>
      <c r="E75" s="33" t="str">
        <f t="shared" si="5"/>
        <v> </v>
      </c>
      <c r="F75" s="56" t="str">
        <f t="shared" si="6"/>
        <v> </v>
      </c>
      <c r="G75" s="35" t="str">
        <f t="shared" si="7"/>
        <v> </v>
      </c>
    </row>
    <row r="76" spans="1:7" ht="12.75" hidden="1">
      <c r="A76" s="173" t="s">
        <v>78</v>
      </c>
      <c r="B76" s="173"/>
      <c r="C76" s="173"/>
      <c r="D76" s="55" t="str">
        <f t="shared" si="4"/>
        <v> </v>
      </c>
      <c r="E76" s="33" t="str">
        <f t="shared" si="5"/>
        <v> </v>
      </c>
      <c r="F76" s="56" t="str">
        <f t="shared" si="6"/>
        <v> </v>
      </c>
      <c r="G76" s="35" t="str">
        <f t="shared" si="7"/>
        <v> </v>
      </c>
    </row>
    <row r="77" spans="1:7" ht="12.75" hidden="1">
      <c r="A77" s="173" t="s">
        <v>79</v>
      </c>
      <c r="B77" s="173"/>
      <c r="C77" s="173"/>
      <c r="D77" s="55" t="str">
        <f t="shared" si="4"/>
        <v> </v>
      </c>
      <c r="E77" s="33" t="str">
        <f t="shared" si="5"/>
        <v> </v>
      </c>
      <c r="F77" s="56" t="str">
        <f t="shared" si="6"/>
        <v> </v>
      </c>
      <c r="G77" s="35" t="str">
        <f t="shared" si="7"/>
        <v> </v>
      </c>
    </row>
    <row r="78" spans="1:7" ht="12.75" hidden="1">
      <c r="A78" s="173" t="s">
        <v>80</v>
      </c>
      <c r="B78" s="173"/>
      <c r="C78" s="173"/>
      <c r="D78" s="55" t="str">
        <f t="shared" si="4"/>
        <v> </v>
      </c>
      <c r="E78" s="33" t="str">
        <f t="shared" si="5"/>
        <v> </v>
      </c>
      <c r="F78" s="56" t="str">
        <f t="shared" si="6"/>
        <v> </v>
      </c>
      <c r="G78" s="35" t="str">
        <f t="shared" si="7"/>
        <v> </v>
      </c>
    </row>
    <row r="79" spans="1:7" ht="12.75" hidden="1">
      <c r="A79" s="173" t="s">
        <v>81</v>
      </c>
      <c r="B79" s="173"/>
      <c r="C79" s="173"/>
      <c r="D79" s="55" t="str">
        <f t="shared" si="4"/>
        <v> </v>
      </c>
      <c r="E79" s="33" t="str">
        <f t="shared" si="5"/>
        <v> </v>
      </c>
      <c r="F79" s="56" t="str">
        <f t="shared" si="6"/>
        <v> </v>
      </c>
      <c r="G79" s="35" t="str">
        <f t="shared" si="7"/>
        <v> </v>
      </c>
    </row>
    <row r="80" spans="1:7" ht="12.75" hidden="1">
      <c r="A80" s="173" t="s">
        <v>82</v>
      </c>
      <c r="B80" s="173"/>
      <c r="C80" s="173"/>
      <c r="D80" s="55" t="str">
        <f t="shared" si="4"/>
        <v> </v>
      </c>
      <c r="E80" s="33" t="str">
        <f t="shared" si="5"/>
        <v> </v>
      </c>
      <c r="F80" s="56" t="str">
        <f t="shared" si="6"/>
        <v> </v>
      </c>
      <c r="G80" s="35" t="str">
        <f t="shared" si="7"/>
        <v> </v>
      </c>
    </row>
    <row r="81" spans="1:7" ht="12.75" hidden="1">
      <c r="A81" s="173" t="s">
        <v>83</v>
      </c>
      <c r="B81" s="173"/>
      <c r="C81" s="173"/>
      <c r="D81" s="55" t="str">
        <f t="shared" si="4"/>
        <v> </v>
      </c>
      <c r="E81" s="33" t="str">
        <f t="shared" si="5"/>
        <v> </v>
      </c>
      <c r="F81" s="56" t="str">
        <f t="shared" si="6"/>
        <v> </v>
      </c>
      <c r="G81" s="35" t="str">
        <f t="shared" si="7"/>
        <v> </v>
      </c>
    </row>
    <row r="82" spans="1:7" ht="12.75" hidden="1">
      <c r="A82" s="173" t="s">
        <v>84</v>
      </c>
      <c r="B82" s="173"/>
      <c r="C82" s="173"/>
      <c r="D82" s="55" t="str">
        <f t="shared" si="4"/>
        <v> </v>
      </c>
      <c r="E82" s="33" t="str">
        <f t="shared" si="5"/>
        <v> </v>
      </c>
      <c r="F82" s="56" t="str">
        <f t="shared" si="6"/>
        <v> </v>
      </c>
      <c r="G82" s="35" t="str">
        <f t="shared" si="7"/>
        <v> </v>
      </c>
    </row>
    <row r="83" spans="1:7" ht="12.75" hidden="1">
      <c r="A83" s="173" t="s">
        <v>85</v>
      </c>
      <c r="B83" s="173"/>
      <c r="C83" s="173"/>
      <c r="D83" s="55" t="str">
        <f>IF($A$47&lt;VALUE(LEFT(A83,2))," ",DATE(YEAR(D82+30),MONTH(D82+30),DAY(D82)))</f>
        <v> </v>
      </c>
      <c r="E83" s="33" t="str">
        <f>IF($A$47&lt;VALUE(LEFT(A83,2))," ",IF($A$47=VALUE(LEFT(A83,2)),$G$43-($E$48*($A$47-1)),E82))</f>
        <v> </v>
      </c>
      <c r="F83" s="56" t="str">
        <f>IF($A$47&lt;VALUE(LEFT(A83,2))," ",IF($A$47=VALUE(LEFT(A83,2)),$G$44-($F$48*($A$47-1)),F82))</f>
        <v> </v>
      </c>
      <c r="G83" s="35" t="str">
        <f>IF($A$47&lt;VALUE(LEFT(A83,2))," ",SUM(E83:F83))</f>
        <v> </v>
      </c>
    </row>
    <row r="84" spans="2:7" ht="12.75">
      <c r="B84" s="47"/>
      <c r="E84" s="43"/>
      <c r="F84" s="41"/>
      <c r="G84" s="48"/>
    </row>
    <row r="85" ht="12.75">
      <c r="A85" s="39" t="s">
        <v>86</v>
      </c>
    </row>
    <row r="86" spans="2:6" ht="12.75">
      <c r="B86" s="25" t="s">
        <v>87</v>
      </c>
      <c r="F86" s="57">
        <f>DPDate</f>
        <v>44240.77902361111</v>
      </c>
    </row>
    <row r="87" spans="2:9" ht="12.75">
      <c r="B87" s="25" t="s">
        <v>88</v>
      </c>
      <c r="F87" s="57">
        <f>D53+31</f>
        <v>44456</v>
      </c>
      <c r="G87" s="58">
        <f>ROUND(((G24+G25)*((100-A33)/100))+(G29*(100-A33)/100),2)</f>
        <v>4574661.76</v>
      </c>
      <c r="I87" s="35"/>
    </row>
    <row r="88" ht="12.75">
      <c r="B88" s="25" t="s">
        <v>89</v>
      </c>
    </row>
    <row r="90" spans="1:4" ht="12.75">
      <c r="A90" s="45" t="s">
        <v>31</v>
      </c>
      <c r="B90" s="59"/>
      <c r="C90" s="59"/>
      <c r="D90" s="59"/>
    </row>
    <row r="91" spans="1:7" ht="12.75">
      <c r="A91" s="170" t="s">
        <v>91</v>
      </c>
      <c r="B91" s="170"/>
      <c r="C91" s="170"/>
      <c r="D91" s="170"/>
      <c r="E91" s="170"/>
      <c r="F91" s="170"/>
      <c r="G91" s="170"/>
    </row>
    <row r="92" spans="1:4" ht="12.75">
      <c r="A92" s="59" t="s">
        <v>32</v>
      </c>
      <c r="B92" s="59"/>
      <c r="C92" s="59"/>
      <c r="D92" s="59"/>
    </row>
    <row r="93" spans="1:4" ht="12.75">
      <c r="A93" s="59" t="s">
        <v>33</v>
      </c>
      <c r="B93" s="59"/>
      <c r="C93" s="59"/>
      <c r="D93" s="59"/>
    </row>
    <row r="94" spans="1:4" ht="12.75">
      <c r="A94" s="59" t="s">
        <v>34</v>
      </c>
      <c r="B94" s="59"/>
      <c r="C94" s="59"/>
      <c r="D94" s="59"/>
    </row>
    <row r="95" spans="1:4" ht="12.75">
      <c r="A95" s="60" t="s">
        <v>35</v>
      </c>
      <c r="B95" s="59"/>
      <c r="C95" s="59"/>
      <c r="D95" s="59"/>
    </row>
    <row r="96" spans="1:4" ht="12.75">
      <c r="A96" s="60" t="s">
        <v>36</v>
      </c>
      <c r="B96" s="59"/>
      <c r="C96" s="59"/>
      <c r="D96" s="59"/>
    </row>
    <row r="97" spans="1:4" ht="12.75">
      <c r="A97" s="60" t="s">
        <v>37</v>
      </c>
      <c r="B97" s="59"/>
      <c r="C97" s="59"/>
      <c r="D97" s="59"/>
    </row>
    <row r="98" spans="1:4" ht="12.75">
      <c r="A98" s="60" t="s">
        <v>38</v>
      </c>
      <c r="B98" s="59"/>
      <c r="C98" s="59"/>
      <c r="D98" s="59"/>
    </row>
    <row r="99" spans="1:4" ht="12.75">
      <c r="A99" s="60" t="s">
        <v>39</v>
      </c>
      <c r="B99" s="59"/>
      <c r="C99" s="59"/>
      <c r="D99" s="59"/>
    </row>
    <row r="100" spans="1:7" ht="12.75">
      <c r="A100" s="170" t="s">
        <v>92</v>
      </c>
      <c r="B100" s="170"/>
      <c r="C100" s="170"/>
      <c r="D100" s="170"/>
      <c r="E100" s="170"/>
      <c r="F100" s="170"/>
      <c r="G100" s="170"/>
    </row>
  </sheetData>
  <sheetProtection/>
  <mergeCells count="45">
    <mergeCell ref="B1:F1"/>
    <mergeCell ref="B2:F2"/>
    <mergeCell ref="A3:G3"/>
    <mergeCell ref="F6:G6"/>
    <mergeCell ref="F7:G7"/>
    <mergeCell ref="D16:F16"/>
    <mergeCell ref="B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83:C83"/>
    <mergeCell ref="A91:G91"/>
    <mergeCell ref="A100:G100"/>
    <mergeCell ref="A77:C77"/>
    <mergeCell ref="A78:C78"/>
    <mergeCell ref="A79:C79"/>
    <mergeCell ref="A80:C80"/>
    <mergeCell ref="A81:C81"/>
    <mergeCell ref="A82:C82"/>
  </mergeCells>
  <conditionalFormatting sqref="B11 B25">
    <cfRule type="expression" priority="2" dxfId="40" stopIfTrue="1">
      <formula>G11=0</formula>
    </cfRule>
  </conditionalFormatting>
  <conditionalFormatting sqref="A49:C56">
    <cfRule type="expression" priority="3" dxfId="40" stopIfTrue="1">
      <formula>VALUE(NoDPSchedule)&lt;VALUE(LEFT(A49,1))</formula>
    </cfRule>
  </conditionalFormatting>
  <conditionalFormatting sqref="A57:C83">
    <cfRule type="expression" priority="4" dxfId="40" stopIfTrue="1">
      <formula>VALUE(NoDPSchedule)&lt;VALUE(LEFT(A57,2))</formula>
    </cfRule>
  </conditionalFormatting>
  <conditionalFormatting sqref="G11 G25">
    <cfRule type="expression" priority="5" dxfId="40" stopIfTrue="1">
      <formula>G11=0</formula>
    </cfRule>
  </conditionalFormatting>
  <conditionalFormatting sqref="D4">
    <cfRule type="expression" priority="1" dxfId="41" stopIfTrue="1">
      <formula>G5&lt;=TODAY()</formula>
    </cfRule>
  </conditionalFormatting>
  <printOptions horizontalCentered="1"/>
  <pageMargins left="0.2362204724409449" right="0.2362204724409449" top="0.5118110236220472" bottom="0.5118110236220472" header="0.5118110236220472" footer="0.5118110236220472"/>
  <pageSetup fitToHeight="1" fitToWidth="1" horizontalDpi="300" verticalDpi="3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00"/>
  <sheetViews>
    <sheetView zoomScalePageLayoutView="0" workbookViewId="0" topLeftCell="A10">
      <selection activeCell="G23" sqref="G23"/>
    </sheetView>
  </sheetViews>
  <sheetFormatPr defaultColWidth="12.375" defaultRowHeight="12.75" customHeight="1"/>
  <cols>
    <col min="1" max="4" width="12.375" style="25" customWidth="1"/>
    <col min="5" max="6" width="14.625" style="25" customWidth="1"/>
    <col min="7" max="7" width="18.00390625" style="25" customWidth="1"/>
    <col min="8" max="9" width="15.00390625" style="25" customWidth="1"/>
    <col min="10" max="10" width="14.125" style="25" customWidth="1"/>
    <col min="11" max="16384" width="12.375" style="25" customWidth="1"/>
  </cols>
  <sheetData>
    <row r="1" spans="1:7" ht="14.25" customHeight="1" thickTop="1">
      <c r="A1" s="23"/>
      <c r="B1" s="175" t="s">
        <v>1</v>
      </c>
      <c r="C1" s="175"/>
      <c r="D1" s="175"/>
      <c r="E1" s="175"/>
      <c r="F1" s="175"/>
      <c r="G1" s="24"/>
    </row>
    <row r="2" spans="1:7" ht="14.25" customHeight="1">
      <c r="A2" s="26"/>
      <c r="B2" s="176" t="s">
        <v>2</v>
      </c>
      <c r="C2" s="176"/>
      <c r="D2" s="176"/>
      <c r="E2" s="176"/>
      <c r="F2" s="176"/>
      <c r="G2" s="27"/>
    </row>
    <row r="3" spans="1:7" ht="30" customHeight="1">
      <c r="A3" s="166" t="s">
        <v>90</v>
      </c>
      <c r="B3" s="167"/>
      <c r="C3" s="167"/>
      <c r="D3" s="167"/>
      <c r="E3" s="167"/>
      <c r="F3" s="167"/>
      <c r="G3" s="168"/>
    </row>
    <row r="4" spans="1:7" ht="15" customHeight="1" thickBot="1">
      <c r="A4" s="61">
        <f>IF(A47&lt;=12,12,A47)</f>
        <v>12</v>
      </c>
      <c r="B4" s="62"/>
      <c r="C4" s="62"/>
      <c r="D4" s="63" t="str">
        <f>IF(A47&gt;G5,"TERM IS SUBJECT FOR APPROVAL","SAMPLE COMPUTATION ONLY")</f>
        <v>SAMPLE COMPUTATION ONLY</v>
      </c>
      <c r="E4" s="62"/>
      <c r="F4" s="62"/>
      <c r="G4" s="64"/>
    </row>
    <row r="5" spans="1:7" ht="13.5" customHeight="1" thickTop="1">
      <c r="A5" s="65"/>
      <c r="B5" s="65"/>
      <c r="C5" s="65"/>
      <c r="D5" s="65"/>
      <c r="E5" s="65"/>
      <c r="F5" s="65"/>
      <c r="G5" s="66">
        <v>24</v>
      </c>
    </row>
    <row r="6" spans="1:7" ht="12.75">
      <c r="A6" s="67" t="s">
        <v>3</v>
      </c>
      <c r="B6" s="67" t="s">
        <v>4</v>
      </c>
      <c r="C6" s="67" t="s">
        <v>5</v>
      </c>
      <c r="D6" s="67" t="s">
        <v>6</v>
      </c>
      <c r="E6" s="67"/>
      <c r="F6" s="169" t="s">
        <v>7</v>
      </c>
      <c r="G6" s="169"/>
    </row>
    <row r="7" spans="1:7" ht="12.75">
      <c r="A7" s="68">
        <v>2</v>
      </c>
      <c r="B7" s="68">
        <v>1116</v>
      </c>
      <c r="C7" s="68">
        <v>11</v>
      </c>
      <c r="D7" s="68">
        <v>22.8</v>
      </c>
      <c r="E7" s="68"/>
      <c r="F7" s="164" t="s">
        <v>8</v>
      </c>
      <c r="G7" s="164"/>
    </row>
    <row r="8" spans="1:7" ht="12.75" customHeight="1">
      <c r="A8" s="65"/>
      <c r="B8" s="65"/>
      <c r="C8" s="65"/>
      <c r="D8" s="65"/>
      <c r="E8" s="65"/>
      <c r="F8" s="65"/>
      <c r="G8" s="65"/>
    </row>
    <row r="9" spans="1:7" ht="12.75" customHeight="1">
      <c r="A9" s="65"/>
      <c r="B9" s="65"/>
      <c r="C9" s="65"/>
      <c r="D9" s="65"/>
      <c r="E9" s="65"/>
      <c r="F9" s="65"/>
      <c r="G9" s="65"/>
    </row>
    <row r="10" spans="1:7" ht="12.75">
      <c r="A10" s="69" t="s">
        <v>9</v>
      </c>
      <c r="B10" s="69"/>
      <c r="C10" s="70"/>
      <c r="D10" s="71"/>
      <c r="E10" s="71"/>
      <c r="F10" s="72" t="s">
        <v>10</v>
      </c>
      <c r="G10" s="73">
        <v>5117000</v>
      </c>
    </row>
    <row r="11" spans="1:7" ht="12.75">
      <c r="A11" s="25" t="s">
        <v>11</v>
      </c>
      <c r="B11" s="25" t="s">
        <v>12</v>
      </c>
      <c r="C11" s="31"/>
      <c r="F11" s="32"/>
      <c r="G11" s="33">
        <f>ROUND(IF(ISERROR(FIND("PARKING",Model,1)),IF(SellingPrice&gt;3199200,(G10-(G10/1.12)),0),(G10-(G10/1.12))),2)</f>
        <v>548250</v>
      </c>
    </row>
    <row r="12" spans="1:10" ht="12.75">
      <c r="A12" s="34">
        <v>5</v>
      </c>
      <c r="B12" s="25" t="str">
        <f>CONCATENATE(A12,"% Discount on ",A39,"% SFDP")</f>
        <v>5% Discount on 10% SFDP</v>
      </c>
      <c r="F12" s="32"/>
      <c r="G12" s="35">
        <f>((G10-G11)-Discount2Value)*(PercentageDiscount/100)*(SpotDownpayment/100)</f>
        <v>22843.750000000004</v>
      </c>
      <c r="I12" s="35"/>
      <c r="J12" s="35"/>
    </row>
    <row r="13" spans="2:10" ht="12.75" hidden="1">
      <c r="B13" s="25" t="s">
        <v>13</v>
      </c>
      <c r="G13" s="35">
        <v>0</v>
      </c>
      <c r="I13" s="35"/>
      <c r="J13" s="35"/>
    </row>
    <row r="14" spans="2:10" ht="12.75" hidden="1">
      <c r="B14" s="25" t="s">
        <v>14</v>
      </c>
      <c r="G14" s="35">
        <v>0</v>
      </c>
      <c r="I14" s="35"/>
      <c r="J14" s="35"/>
    </row>
    <row r="15" spans="2:9" ht="12.75" hidden="1">
      <c r="B15" s="25" t="s">
        <v>15</v>
      </c>
      <c r="G15" s="35">
        <v>0</v>
      </c>
      <c r="I15" s="35"/>
    </row>
    <row r="16" spans="2:9" ht="12.75">
      <c r="B16" s="25" t="s">
        <v>16</v>
      </c>
      <c r="D16" s="177" t="s">
        <v>93</v>
      </c>
      <c r="E16" s="177"/>
      <c r="F16" s="177"/>
      <c r="G16" s="35">
        <v>150000</v>
      </c>
      <c r="I16" s="35"/>
    </row>
    <row r="17" spans="2:9" ht="12.75" hidden="1">
      <c r="B17" s="25" t="s">
        <v>17</v>
      </c>
      <c r="G17" s="35">
        <v>0</v>
      </c>
      <c r="I17" s="35"/>
    </row>
    <row r="18" spans="2:10" ht="12.75" hidden="1">
      <c r="B18" s="25" t="s">
        <v>18</v>
      </c>
      <c r="G18" s="35">
        <v>0</v>
      </c>
      <c r="H18" s="35"/>
      <c r="I18" s="35"/>
      <c r="J18" s="35"/>
    </row>
    <row r="19" spans="2:10" ht="12.75" hidden="1">
      <c r="B19" s="25" t="s">
        <v>19</v>
      </c>
      <c r="G19" s="35">
        <v>0</v>
      </c>
      <c r="J19" s="35"/>
    </row>
    <row r="20" spans="2:10" ht="12.75" hidden="1">
      <c r="B20" s="25" t="s">
        <v>20</v>
      </c>
      <c r="G20" s="35">
        <v>0</v>
      </c>
      <c r="J20" s="35"/>
    </row>
    <row r="21" spans="2:10" ht="12.75" hidden="1">
      <c r="B21" s="25" t="s">
        <v>21</v>
      </c>
      <c r="G21" s="35">
        <v>0</v>
      </c>
      <c r="J21" s="35"/>
    </row>
    <row r="22" spans="2:10" ht="12.75" hidden="1">
      <c r="B22" s="25" t="s">
        <v>22</v>
      </c>
      <c r="G22" s="35">
        <v>0</v>
      </c>
      <c r="J22" s="35"/>
    </row>
    <row r="23" spans="6:10" ht="13.5" customHeight="1" thickBot="1">
      <c r="F23" s="32"/>
      <c r="G23" s="36"/>
      <c r="J23" s="35"/>
    </row>
    <row r="24" spans="1:7" ht="13.5" customHeight="1" thickTop="1">
      <c r="A24" s="28" t="s">
        <v>40</v>
      </c>
      <c r="B24" s="37"/>
      <c r="C24" s="29"/>
      <c r="D24" s="29"/>
      <c r="E24" s="29"/>
      <c r="F24" s="30" t="s">
        <v>10</v>
      </c>
      <c r="G24" s="38">
        <f>(SellingPrice-G11)-SUM(G12:G22)</f>
        <v>4395906.25</v>
      </c>
    </row>
    <row r="25" spans="1:9" ht="12.75">
      <c r="A25" s="25" t="s">
        <v>24</v>
      </c>
      <c r="B25" s="25" t="s">
        <v>12</v>
      </c>
      <c r="G25" s="35">
        <f>ROUND(IF(ISERROR(FIND("PARKING",Model,1)),IF(G24&gt;3199200,G24*12%,0),G24*12%),2)</f>
        <v>527508.75</v>
      </c>
      <c r="I25" s="35"/>
    </row>
    <row r="26" spans="1:7" ht="12.75" hidden="1">
      <c r="A26" s="34">
        <v>7</v>
      </c>
      <c r="B26" s="25" t="s">
        <v>25</v>
      </c>
      <c r="G26" s="35">
        <f>ROUND(G24*(A26/100),2)</f>
        <v>307713.44</v>
      </c>
    </row>
    <row r="27" spans="1:7" ht="12.75" hidden="1">
      <c r="A27" s="34"/>
      <c r="B27" s="25" t="s">
        <v>26</v>
      </c>
      <c r="F27" s="34">
        <f>IF(G27&gt;50000,50000,G27)</f>
        <v>0</v>
      </c>
      <c r="G27" s="35">
        <v>0</v>
      </c>
    </row>
    <row r="28" spans="1:7" ht="12.75" hidden="1">
      <c r="A28" s="34"/>
      <c r="B28" s="25" t="s">
        <v>27</v>
      </c>
      <c r="G28" s="35">
        <v>0</v>
      </c>
    </row>
    <row r="29" spans="1:7" ht="13.5" customHeight="1" thickBot="1">
      <c r="A29" s="34"/>
      <c r="B29" s="25" t="s">
        <v>25</v>
      </c>
      <c r="G29" s="35">
        <f>ROUND(SUM(G26,G28,F27),2)</f>
        <v>307713.44</v>
      </c>
    </row>
    <row r="30" spans="1:7" ht="13.5" customHeight="1" thickTop="1">
      <c r="A30" s="28" t="s">
        <v>28</v>
      </c>
      <c r="B30" s="29"/>
      <c r="C30" s="29"/>
      <c r="D30" s="29"/>
      <c r="E30" s="29"/>
      <c r="F30" s="30" t="s">
        <v>10</v>
      </c>
      <c r="G30" s="38">
        <f>G24+SUM(G25,G29)</f>
        <v>5231128.4399999995</v>
      </c>
    </row>
    <row r="32" ht="12.75">
      <c r="A32" s="39" t="s">
        <v>41</v>
      </c>
    </row>
    <row r="33" spans="1:7" ht="12.75">
      <c r="A33" s="40">
        <v>20</v>
      </c>
      <c r="B33" s="25" t="str">
        <f>CONCATENATE("Downpayment ("&amp;A33&amp;"% of Selling Price)")</f>
        <v>Downpayment (20% of Selling Price)</v>
      </c>
      <c r="G33" s="35">
        <f>ROUND((G24+G25)*(A33/100),2)</f>
        <v>984683</v>
      </c>
    </row>
    <row r="34" spans="1:7" ht="13.5" customHeight="1" thickBot="1">
      <c r="A34" s="39"/>
      <c r="B34" s="25" t="s">
        <v>42</v>
      </c>
      <c r="G34" s="35">
        <f>ROUND(G29*(A33/100),2)</f>
        <v>61542.69</v>
      </c>
    </row>
    <row r="35" spans="1:7" ht="13.5" customHeight="1" thickTop="1">
      <c r="A35" s="28" t="s">
        <v>43</v>
      </c>
      <c r="B35" s="29"/>
      <c r="C35" s="29"/>
      <c r="D35" s="29"/>
      <c r="E35" s="29"/>
      <c r="F35" s="30" t="s">
        <v>10</v>
      </c>
      <c r="G35" s="38">
        <f>SUM(G33:G34)</f>
        <v>1046225.69</v>
      </c>
    </row>
    <row r="36" spans="1:7" ht="13.5" customHeight="1" thickBot="1">
      <c r="A36" s="25" t="s">
        <v>11</v>
      </c>
      <c r="B36" s="25" t="s">
        <v>29</v>
      </c>
      <c r="F36" s="41">
        <f ca="1">NOW()</f>
        <v>44211.77902361111</v>
      </c>
      <c r="G36" s="35">
        <v>20000</v>
      </c>
    </row>
    <row r="37" spans="1:7" ht="13.5" customHeight="1" thickTop="1">
      <c r="A37" s="28" t="s">
        <v>44</v>
      </c>
      <c r="B37" s="29"/>
      <c r="C37" s="29"/>
      <c r="D37" s="29"/>
      <c r="E37" s="42"/>
      <c r="F37" s="30" t="s">
        <v>10</v>
      </c>
      <c r="G37" s="38">
        <f>G35-G36</f>
        <v>1026225.69</v>
      </c>
    </row>
    <row r="39" spans="1:10" ht="12.75">
      <c r="A39" s="34">
        <v>10</v>
      </c>
      <c r="B39" s="25" t="str">
        <f>CONCATENATE("Spot Downpayment ("&amp;A39&amp;"% of Selling Price)")</f>
        <v>Spot Downpayment (10% of Selling Price)</v>
      </c>
      <c r="E39" s="43"/>
      <c r="F39" s="41"/>
      <c r="G39" s="35">
        <f>ROUND((SUM(G24:G25)*(A39/100))-G36,2)</f>
        <v>472341.5</v>
      </c>
      <c r="H39" s="35"/>
      <c r="I39" s="35"/>
      <c r="J39" s="44"/>
    </row>
    <row r="40" spans="2:10" ht="13.5" customHeight="1" thickBot="1">
      <c r="B40" s="25" t="s">
        <v>25</v>
      </c>
      <c r="E40" s="43"/>
      <c r="F40" s="41"/>
      <c r="G40" s="35">
        <f>ROUND(G29*(A39/100),2)</f>
        <v>30771.34</v>
      </c>
      <c r="J40" s="35"/>
    </row>
    <row r="41" spans="2:7" ht="13.5" customHeight="1" thickTop="1">
      <c r="B41" s="45" t="s">
        <v>45</v>
      </c>
      <c r="E41" s="43"/>
      <c r="F41" s="41">
        <v>43976</v>
      </c>
      <c r="G41" s="46">
        <f>SUM(G39:G40)</f>
        <v>503112.84</v>
      </c>
    </row>
    <row r="42" spans="2:7" ht="12.75">
      <c r="B42" s="47"/>
      <c r="E42" s="43"/>
      <c r="F42" s="41"/>
      <c r="G42" s="48"/>
    </row>
    <row r="43" spans="1:7" ht="12.75">
      <c r="A43" s="34">
        <f>A33-A39</f>
        <v>10</v>
      </c>
      <c r="B43" s="49" t="str">
        <f>CONCATENATE("Streched Downpayment ("&amp;A43&amp;"% of Selling Price)")</f>
        <v>Streched Downpayment (10% of Selling Price)</v>
      </c>
      <c r="E43" s="43"/>
      <c r="F43" s="41"/>
      <c r="G43" s="35">
        <f>G33-G39-ReservationFee</f>
        <v>492341.5</v>
      </c>
    </row>
    <row r="44" spans="2:7" ht="13.5" customHeight="1" thickBot="1">
      <c r="B44" s="49" t="s">
        <v>25</v>
      </c>
      <c r="E44" s="43"/>
      <c r="F44" s="41"/>
      <c r="G44" s="35">
        <f>SUM(G34:G34)-G40</f>
        <v>30771.350000000002</v>
      </c>
    </row>
    <row r="45" spans="2:7" ht="13.5" customHeight="1" thickTop="1">
      <c r="B45" s="45" t="str">
        <f>CONCATENATE("Total Streched DP and Other Charges payable in "&amp;A47&amp;" months")</f>
        <v>Total Streched DP and Other Charges payable in 6 months</v>
      </c>
      <c r="E45" s="43"/>
      <c r="F45" s="41"/>
      <c r="G45" s="46">
        <f>SUM(G43:G44)</f>
        <v>523112.85</v>
      </c>
    </row>
    <row r="46" spans="2:7" ht="12.75">
      <c r="B46" s="49"/>
      <c r="E46" s="43"/>
      <c r="F46" s="41"/>
      <c r="G46" s="48"/>
    </row>
    <row r="47" spans="1:7" ht="25.5" customHeight="1">
      <c r="A47" s="50">
        <v>6</v>
      </c>
      <c r="B47" s="174" t="s">
        <v>46</v>
      </c>
      <c r="C47" s="174"/>
      <c r="D47" s="51" t="s">
        <v>47</v>
      </c>
      <c r="E47" s="52" t="s">
        <v>48</v>
      </c>
      <c r="F47" s="53" t="s">
        <v>25</v>
      </c>
      <c r="G47" s="54" t="s">
        <v>49</v>
      </c>
    </row>
    <row r="48" spans="1:7" ht="12.75">
      <c r="A48" s="173" t="s">
        <v>50</v>
      </c>
      <c r="B48" s="173"/>
      <c r="C48" s="173"/>
      <c r="D48" s="55">
        <f>IF(AND(DAY(F41)&gt;2,DAY(F41)&lt;19),DATE(YEAR(F41+30),MONTH(F41+30),DAY(17)),DATE(YEAR(F41+30),IF(DAY(F41)&gt;18,MONTH(F41+30)+1,MONTH(F41+30)),DAY(2)))</f>
        <v>44014</v>
      </c>
      <c r="E48" s="33">
        <f>ROUND(G43/A47,2)</f>
        <v>82056.92</v>
      </c>
      <c r="F48" s="56">
        <f>ROUND(G44/A47,2)</f>
        <v>5128.56</v>
      </c>
      <c r="G48" s="35">
        <f>SUM(E48:F48)</f>
        <v>87185.48</v>
      </c>
    </row>
    <row r="49" spans="1:7" ht="12.75">
      <c r="A49" s="173" t="s">
        <v>51</v>
      </c>
      <c r="B49" s="173"/>
      <c r="C49" s="173"/>
      <c r="D49" s="55">
        <f>IF($A$47&lt;VALUE(LEFT(A49,1))," ",DATE(YEAR(D48+30),MONTH(D48+30),DAY(D48)))</f>
        <v>44045</v>
      </c>
      <c r="E49" s="33">
        <f>IF($A$47&lt;VALUE(LEFT(A49,1))," ",IF($A$47=VALUE(LEFT(A49,1)),$G$43-($E$48*($A$47-1)),E48))</f>
        <v>82056.92</v>
      </c>
      <c r="F49" s="56">
        <f>IF($A$47&lt;VALUE(LEFT(A49,1))," ",IF($A$47=VALUE(LEFT(A49,1)),$G$44-($F$48*($A$47-1)),F48))</f>
        <v>5128.56</v>
      </c>
      <c r="G49" s="35">
        <f>IF($A$47&lt;VALUE(LEFT(A49,1))," ",SUM(E49:F49))</f>
        <v>87185.48</v>
      </c>
    </row>
    <row r="50" spans="1:7" ht="12.75">
      <c r="A50" s="173" t="s">
        <v>52</v>
      </c>
      <c r="B50" s="173"/>
      <c r="C50" s="173"/>
      <c r="D50" s="55">
        <f>IF($A$47&lt;VALUE(LEFT(A50,1))," ",DATE(YEAR(D49+30),MONTH(D49+30),DAY(D49)))</f>
        <v>44076</v>
      </c>
      <c r="E50" s="33">
        <f aca="true" t="shared" si="0" ref="E50:E56">IF($A$47&lt;VALUE(LEFT(A50,1))," ",IF($A$47=VALUE(LEFT(A50,1)),$G$43-($E$48*($A$47-1)),E49))</f>
        <v>82056.92</v>
      </c>
      <c r="F50" s="56">
        <f aca="true" t="shared" si="1" ref="F50:F56">IF($A$47&lt;VALUE(LEFT(A50,1))," ",IF($A$47=VALUE(LEFT(A50,1)),$G$44-($F$48*($A$47-1)),F49))</f>
        <v>5128.56</v>
      </c>
      <c r="G50" s="35">
        <f aca="true" t="shared" si="2" ref="G50:G56">IF($A$47&lt;VALUE(LEFT(A50,1))," ",SUM(E50:F50))</f>
        <v>87185.48</v>
      </c>
    </row>
    <row r="51" spans="1:7" ht="12.75">
      <c r="A51" s="173" t="s">
        <v>53</v>
      </c>
      <c r="B51" s="173"/>
      <c r="C51" s="173"/>
      <c r="D51" s="55">
        <f aca="true" t="shared" si="3" ref="D51:D56">IF($A$47&lt;VALUE(LEFT(A51,1))," ",DATE(YEAR(D50+30),MONTH(D50+30),DAY(D50)))</f>
        <v>44106</v>
      </c>
      <c r="E51" s="33">
        <f t="shared" si="0"/>
        <v>82056.92</v>
      </c>
      <c r="F51" s="56">
        <f t="shared" si="1"/>
        <v>5128.56</v>
      </c>
      <c r="G51" s="35">
        <f t="shared" si="2"/>
        <v>87185.48</v>
      </c>
    </row>
    <row r="52" spans="1:7" ht="12.75">
      <c r="A52" s="173" t="s">
        <v>54</v>
      </c>
      <c r="B52" s="173"/>
      <c r="C52" s="173"/>
      <c r="D52" s="55">
        <f t="shared" si="3"/>
        <v>44137</v>
      </c>
      <c r="E52" s="33">
        <f t="shared" si="0"/>
        <v>82056.92</v>
      </c>
      <c r="F52" s="56">
        <f t="shared" si="1"/>
        <v>5128.56</v>
      </c>
      <c r="G52" s="35">
        <f t="shared" si="2"/>
        <v>87185.48</v>
      </c>
    </row>
    <row r="53" spans="1:7" ht="12.75">
      <c r="A53" s="173" t="s">
        <v>55</v>
      </c>
      <c r="B53" s="173"/>
      <c r="C53" s="173"/>
      <c r="D53" s="55">
        <f t="shared" si="3"/>
        <v>44167</v>
      </c>
      <c r="E53" s="33">
        <f t="shared" si="0"/>
        <v>82056.90000000002</v>
      </c>
      <c r="F53" s="56">
        <f t="shared" si="1"/>
        <v>5128.549999999999</v>
      </c>
      <c r="G53" s="35">
        <f t="shared" si="2"/>
        <v>87185.45000000003</v>
      </c>
    </row>
    <row r="54" spans="1:7" ht="12.75" hidden="1">
      <c r="A54" s="173" t="s">
        <v>56</v>
      </c>
      <c r="B54" s="173"/>
      <c r="C54" s="173"/>
      <c r="D54" s="55" t="str">
        <f t="shared" si="3"/>
        <v> </v>
      </c>
      <c r="E54" s="33" t="str">
        <f t="shared" si="0"/>
        <v> </v>
      </c>
      <c r="F54" s="56" t="str">
        <f t="shared" si="1"/>
        <v> </v>
      </c>
      <c r="G54" s="35" t="str">
        <f t="shared" si="2"/>
        <v> </v>
      </c>
    </row>
    <row r="55" spans="1:7" ht="12.75" hidden="1">
      <c r="A55" s="173" t="s">
        <v>57</v>
      </c>
      <c r="B55" s="173"/>
      <c r="C55" s="173"/>
      <c r="D55" s="55" t="str">
        <f t="shared" si="3"/>
        <v> </v>
      </c>
      <c r="E55" s="33" t="str">
        <f t="shared" si="0"/>
        <v> </v>
      </c>
      <c r="F55" s="56" t="str">
        <f t="shared" si="1"/>
        <v> </v>
      </c>
      <c r="G55" s="35" t="str">
        <f t="shared" si="2"/>
        <v> </v>
      </c>
    </row>
    <row r="56" spans="1:7" ht="12.75" hidden="1">
      <c r="A56" s="173" t="s">
        <v>58</v>
      </c>
      <c r="B56" s="173"/>
      <c r="C56" s="173"/>
      <c r="D56" s="55" t="str">
        <f t="shared" si="3"/>
        <v> </v>
      </c>
      <c r="E56" s="33" t="str">
        <f t="shared" si="0"/>
        <v> </v>
      </c>
      <c r="F56" s="56" t="str">
        <f t="shared" si="1"/>
        <v> </v>
      </c>
      <c r="G56" s="35" t="str">
        <f t="shared" si="2"/>
        <v> </v>
      </c>
    </row>
    <row r="57" spans="1:7" ht="12.75" hidden="1">
      <c r="A57" s="173" t="s">
        <v>59</v>
      </c>
      <c r="B57" s="173"/>
      <c r="C57" s="173"/>
      <c r="D57" s="55" t="str">
        <f>IF($A$47&lt;VALUE(LEFT(A57,2))," ",DATE(YEAR(D56+30),MONTH(D56+30),DAY(D56)))</f>
        <v> </v>
      </c>
      <c r="E57" s="33" t="str">
        <f>IF($A$47&lt;VALUE(LEFT(A57,2))," ",IF($A$47=VALUE(LEFT(A57,2)),$G$43-($E$48*($A$47-1)),E56))</f>
        <v> </v>
      </c>
      <c r="F57" s="56" t="str">
        <f>IF($A$47&lt;VALUE(LEFT(A57,2))," ",IF($A$47=VALUE(LEFT(A57,2)),$G$44-($F$48*($A$47-1)),F56))</f>
        <v> </v>
      </c>
      <c r="G57" s="35" t="str">
        <f>IF($A$47&lt;VALUE(LEFT(A57,2))," ",SUM(E57:F57))</f>
        <v> </v>
      </c>
    </row>
    <row r="58" spans="1:7" ht="12.75" hidden="1">
      <c r="A58" s="173" t="s">
        <v>60</v>
      </c>
      <c r="B58" s="173"/>
      <c r="C58" s="173"/>
      <c r="D58" s="55" t="str">
        <f aca="true" t="shared" si="4" ref="D58:D82">IF($A$47&lt;VALUE(LEFT(A58,2))," ",DATE(YEAR(D57+30),MONTH(D57+30),DAY(D57)))</f>
        <v> </v>
      </c>
      <c r="E58" s="33" t="str">
        <f aca="true" t="shared" si="5" ref="E58:E82">IF($A$47&lt;VALUE(LEFT(A58,2))," ",IF($A$47=VALUE(LEFT(A58,2)),$G$43-($E$48*($A$47-1)),E57))</f>
        <v> </v>
      </c>
      <c r="F58" s="56" t="str">
        <f aca="true" t="shared" si="6" ref="F58:F82">IF($A$47&lt;VALUE(LEFT(A58,2))," ",IF($A$47=VALUE(LEFT(A58,2)),$G$44-($F$48*($A$47-1)),F57))</f>
        <v> </v>
      </c>
      <c r="G58" s="35" t="str">
        <f aca="true" t="shared" si="7" ref="G58:G82">IF($A$47&lt;VALUE(LEFT(A58,2))," ",SUM(E58:F58))</f>
        <v> </v>
      </c>
    </row>
    <row r="59" spans="1:7" ht="12.75" hidden="1">
      <c r="A59" s="173" t="s">
        <v>61</v>
      </c>
      <c r="B59" s="173"/>
      <c r="C59" s="173"/>
      <c r="D59" s="55" t="str">
        <f t="shared" si="4"/>
        <v> </v>
      </c>
      <c r="E59" s="33" t="str">
        <f t="shared" si="5"/>
        <v> </v>
      </c>
      <c r="F59" s="56" t="str">
        <f t="shared" si="6"/>
        <v> </v>
      </c>
      <c r="G59" s="35" t="str">
        <f t="shared" si="7"/>
        <v> </v>
      </c>
    </row>
    <row r="60" spans="1:7" ht="12.75" hidden="1">
      <c r="A60" s="173" t="s">
        <v>62</v>
      </c>
      <c r="B60" s="173"/>
      <c r="C60" s="173"/>
      <c r="D60" s="55" t="str">
        <f t="shared" si="4"/>
        <v> </v>
      </c>
      <c r="E60" s="33" t="str">
        <f t="shared" si="5"/>
        <v> </v>
      </c>
      <c r="F60" s="56" t="str">
        <f t="shared" si="6"/>
        <v> </v>
      </c>
      <c r="G60" s="35" t="str">
        <f t="shared" si="7"/>
        <v> </v>
      </c>
    </row>
    <row r="61" spans="1:7" ht="12.75" hidden="1">
      <c r="A61" s="173" t="s">
        <v>63</v>
      </c>
      <c r="B61" s="173"/>
      <c r="C61" s="173"/>
      <c r="D61" s="55" t="str">
        <f t="shared" si="4"/>
        <v> </v>
      </c>
      <c r="E61" s="33" t="str">
        <f t="shared" si="5"/>
        <v> </v>
      </c>
      <c r="F61" s="56" t="str">
        <f t="shared" si="6"/>
        <v> </v>
      </c>
      <c r="G61" s="35" t="str">
        <f t="shared" si="7"/>
        <v> </v>
      </c>
    </row>
    <row r="62" spans="1:7" ht="12.75" hidden="1">
      <c r="A62" s="173" t="s">
        <v>64</v>
      </c>
      <c r="B62" s="173"/>
      <c r="C62" s="173"/>
      <c r="D62" s="55" t="str">
        <f t="shared" si="4"/>
        <v> </v>
      </c>
      <c r="E62" s="33" t="str">
        <f t="shared" si="5"/>
        <v> </v>
      </c>
      <c r="F62" s="56" t="str">
        <f t="shared" si="6"/>
        <v> </v>
      </c>
      <c r="G62" s="35" t="str">
        <f t="shared" si="7"/>
        <v> </v>
      </c>
    </row>
    <row r="63" spans="1:7" ht="12.75" hidden="1">
      <c r="A63" s="173" t="s">
        <v>65</v>
      </c>
      <c r="B63" s="173"/>
      <c r="C63" s="173"/>
      <c r="D63" s="55" t="str">
        <f t="shared" si="4"/>
        <v> </v>
      </c>
      <c r="E63" s="33" t="str">
        <f t="shared" si="5"/>
        <v> </v>
      </c>
      <c r="F63" s="56" t="str">
        <f t="shared" si="6"/>
        <v> </v>
      </c>
      <c r="G63" s="35" t="str">
        <f t="shared" si="7"/>
        <v> </v>
      </c>
    </row>
    <row r="64" spans="1:7" ht="12.75" hidden="1">
      <c r="A64" s="173" t="s">
        <v>66</v>
      </c>
      <c r="B64" s="173"/>
      <c r="C64" s="173"/>
      <c r="D64" s="55" t="str">
        <f t="shared" si="4"/>
        <v> </v>
      </c>
      <c r="E64" s="33" t="str">
        <f t="shared" si="5"/>
        <v> </v>
      </c>
      <c r="F64" s="56" t="str">
        <f t="shared" si="6"/>
        <v> </v>
      </c>
      <c r="G64" s="35" t="str">
        <f t="shared" si="7"/>
        <v> </v>
      </c>
    </row>
    <row r="65" spans="1:7" ht="12.75" hidden="1">
      <c r="A65" s="173" t="s">
        <v>67</v>
      </c>
      <c r="B65" s="173"/>
      <c r="C65" s="173"/>
      <c r="D65" s="55" t="str">
        <f t="shared" si="4"/>
        <v> </v>
      </c>
      <c r="E65" s="33" t="str">
        <f t="shared" si="5"/>
        <v> </v>
      </c>
      <c r="F65" s="56" t="str">
        <f t="shared" si="6"/>
        <v> </v>
      </c>
      <c r="G65" s="35" t="str">
        <f t="shared" si="7"/>
        <v> </v>
      </c>
    </row>
    <row r="66" spans="1:7" ht="12.75" hidden="1">
      <c r="A66" s="173" t="s">
        <v>68</v>
      </c>
      <c r="B66" s="173"/>
      <c r="C66" s="173"/>
      <c r="D66" s="55" t="str">
        <f t="shared" si="4"/>
        <v> </v>
      </c>
      <c r="E66" s="33" t="str">
        <f t="shared" si="5"/>
        <v> </v>
      </c>
      <c r="F66" s="56" t="str">
        <f t="shared" si="6"/>
        <v> </v>
      </c>
      <c r="G66" s="35" t="str">
        <f t="shared" si="7"/>
        <v> </v>
      </c>
    </row>
    <row r="67" spans="1:7" ht="12.75" hidden="1">
      <c r="A67" s="173" t="s">
        <v>69</v>
      </c>
      <c r="B67" s="173"/>
      <c r="C67" s="173"/>
      <c r="D67" s="55" t="str">
        <f t="shared" si="4"/>
        <v> </v>
      </c>
      <c r="E67" s="33" t="str">
        <f t="shared" si="5"/>
        <v> </v>
      </c>
      <c r="F67" s="56" t="str">
        <f t="shared" si="6"/>
        <v> </v>
      </c>
      <c r="G67" s="35" t="str">
        <f t="shared" si="7"/>
        <v> </v>
      </c>
    </row>
    <row r="68" spans="1:7" ht="12.75" hidden="1">
      <c r="A68" s="173" t="s">
        <v>70</v>
      </c>
      <c r="B68" s="173"/>
      <c r="C68" s="173"/>
      <c r="D68" s="55" t="str">
        <f t="shared" si="4"/>
        <v> </v>
      </c>
      <c r="E68" s="33" t="str">
        <f t="shared" si="5"/>
        <v> </v>
      </c>
      <c r="F68" s="56" t="str">
        <f t="shared" si="6"/>
        <v> </v>
      </c>
      <c r="G68" s="35" t="str">
        <f t="shared" si="7"/>
        <v> </v>
      </c>
    </row>
    <row r="69" spans="1:7" ht="12.75" hidden="1">
      <c r="A69" s="173" t="s">
        <v>71</v>
      </c>
      <c r="B69" s="173"/>
      <c r="C69" s="173"/>
      <c r="D69" s="55" t="str">
        <f t="shared" si="4"/>
        <v> </v>
      </c>
      <c r="E69" s="33" t="str">
        <f t="shared" si="5"/>
        <v> </v>
      </c>
      <c r="F69" s="56" t="str">
        <f t="shared" si="6"/>
        <v> </v>
      </c>
      <c r="G69" s="35" t="str">
        <f t="shared" si="7"/>
        <v> </v>
      </c>
    </row>
    <row r="70" spans="1:7" ht="12.75" hidden="1">
      <c r="A70" s="173" t="s">
        <v>72</v>
      </c>
      <c r="B70" s="173"/>
      <c r="C70" s="173"/>
      <c r="D70" s="55" t="str">
        <f t="shared" si="4"/>
        <v> </v>
      </c>
      <c r="E70" s="33" t="str">
        <f t="shared" si="5"/>
        <v> </v>
      </c>
      <c r="F70" s="56" t="str">
        <f t="shared" si="6"/>
        <v> </v>
      </c>
      <c r="G70" s="35" t="str">
        <f t="shared" si="7"/>
        <v> </v>
      </c>
    </row>
    <row r="71" spans="1:7" ht="12.75" hidden="1">
      <c r="A71" s="173" t="s">
        <v>73</v>
      </c>
      <c r="B71" s="173"/>
      <c r="C71" s="173"/>
      <c r="D71" s="55" t="str">
        <f t="shared" si="4"/>
        <v> </v>
      </c>
      <c r="E71" s="33" t="str">
        <f t="shared" si="5"/>
        <v> </v>
      </c>
      <c r="F71" s="56" t="str">
        <f t="shared" si="6"/>
        <v> </v>
      </c>
      <c r="G71" s="35" t="str">
        <f t="shared" si="7"/>
        <v> </v>
      </c>
    </row>
    <row r="72" spans="1:7" ht="12.75" hidden="1">
      <c r="A72" s="173" t="s">
        <v>74</v>
      </c>
      <c r="B72" s="173"/>
      <c r="C72" s="173"/>
      <c r="D72" s="55" t="str">
        <f t="shared" si="4"/>
        <v> </v>
      </c>
      <c r="E72" s="33" t="str">
        <f t="shared" si="5"/>
        <v> </v>
      </c>
      <c r="F72" s="56" t="str">
        <f t="shared" si="6"/>
        <v> </v>
      </c>
      <c r="G72" s="35" t="str">
        <f t="shared" si="7"/>
        <v> </v>
      </c>
    </row>
    <row r="73" spans="1:7" ht="12.75" hidden="1">
      <c r="A73" s="173" t="s">
        <v>75</v>
      </c>
      <c r="B73" s="173"/>
      <c r="C73" s="173"/>
      <c r="D73" s="55" t="str">
        <f t="shared" si="4"/>
        <v> </v>
      </c>
      <c r="E73" s="33" t="str">
        <f t="shared" si="5"/>
        <v> </v>
      </c>
      <c r="F73" s="56" t="str">
        <f t="shared" si="6"/>
        <v> </v>
      </c>
      <c r="G73" s="35" t="str">
        <f t="shared" si="7"/>
        <v> </v>
      </c>
    </row>
    <row r="74" spans="1:7" ht="12.75" hidden="1">
      <c r="A74" s="173" t="s">
        <v>76</v>
      </c>
      <c r="B74" s="173"/>
      <c r="C74" s="173"/>
      <c r="D74" s="55" t="str">
        <f t="shared" si="4"/>
        <v> </v>
      </c>
      <c r="E74" s="33" t="str">
        <f t="shared" si="5"/>
        <v> </v>
      </c>
      <c r="F74" s="56" t="str">
        <f t="shared" si="6"/>
        <v> </v>
      </c>
      <c r="G74" s="35" t="str">
        <f t="shared" si="7"/>
        <v> </v>
      </c>
    </row>
    <row r="75" spans="1:7" ht="12.75" hidden="1">
      <c r="A75" s="173" t="s">
        <v>77</v>
      </c>
      <c r="B75" s="173"/>
      <c r="C75" s="173"/>
      <c r="D75" s="55" t="str">
        <f t="shared" si="4"/>
        <v> </v>
      </c>
      <c r="E75" s="33" t="str">
        <f t="shared" si="5"/>
        <v> </v>
      </c>
      <c r="F75" s="56" t="str">
        <f t="shared" si="6"/>
        <v> </v>
      </c>
      <c r="G75" s="35" t="str">
        <f t="shared" si="7"/>
        <v> </v>
      </c>
    </row>
    <row r="76" spans="1:7" ht="12.75" hidden="1">
      <c r="A76" s="173" t="s">
        <v>78</v>
      </c>
      <c r="B76" s="173"/>
      <c r="C76" s="173"/>
      <c r="D76" s="55" t="str">
        <f t="shared" si="4"/>
        <v> </v>
      </c>
      <c r="E76" s="33" t="str">
        <f t="shared" si="5"/>
        <v> </v>
      </c>
      <c r="F76" s="56" t="str">
        <f t="shared" si="6"/>
        <v> </v>
      </c>
      <c r="G76" s="35" t="str">
        <f t="shared" si="7"/>
        <v> </v>
      </c>
    </row>
    <row r="77" spans="1:7" ht="12.75" hidden="1">
      <c r="A77" s="173" t="s">
        <v>79</v>
      </c>
      <c r="B77" s="173"/>
      <c r="C77" s="173"/>
      <c r="D77" s="55" t="str">
        <f t="shared" si="4"/>
        <v> </v>
      </c>
      <c r="E77" s="33" t="str">
        <f t="shared" si="5"/>
        <v> </v>
      </c>
      <c r="F77" s="56" t="str">
        <f t="shared" si="6"/>
        <v> </v>
      </c>
      <c r="G77" s="35" t="str">
        <f t="shared" si="7"/>
        <v> </v>
      </c>
    </row>
    <row r="78" spans="1:7" ht="12.75" hidden="1">
      <c r="A78" s="173" t="s">
        <v>80</v>
      </c>
      <c r="B78" s="173"/>
      <c r="C78" s="173"/>
      <c r="D78" s="55" t="str">
        <f t="shared" si="4"/>
        <v> </v>
      </c>
      <c r="E78" s="33" t="str">
        <f t="shared" si="5"/>
        <v> </v>
      </c>
      <c r="F78" s="56" t="str">
        <f t="shared" si="6"/>
        <v> </v>
      </c>
      <c r="G78" s="35" t="str">
        <f t="shared" si="7"/>
        <v> </v>
      </c>
    </row>
    <row r="79" spans="1:7" ht="12.75" hidden="1">
      <c r="A79" s="173" t="s">
        <v>81</v>
      </c>
      <c r="B79" s="173"/>
      <c r="C79" s="173"/>
      <c r="D79" s="55" t="str">
        <f t="shared" si="4"/>
        <v> </v>
      </c>
      <c r="E79" s="33" t="str">
        <f t="shared" si="5"/>
        <v> </v>
      </c>
      <c r="F79" s="56" t="str">
        <f t="shared" si="6"/>
        <v> </v>
      </c>
      <c r="G79" s="35" t="str">
        <f t="shared" si="7"/>
        <v> </v>
      </c>
    </row>
    <row r="80" spans="1:7" ht="12.75" hidden="1">
      <c r="A80" s="173" t="s">
        <v>82</v>
      </c>
      <c r="B80" s="173"/>
      <c r="C80" s="173"/>
      <c r="D80" s="55" t="str">
        <f t="shared" si="4"/>
        <v> </v>
      </c>
      <c r="E80" s="33" t="str">
        <f t="shared" si="5"/>
        <v> </v>
      </c>
      <c r="F80" s="56" t="str">
        <f t="shared" si="6"/>
        <v> </v>
      </c>
      <c r="G80" s="35" t="str">
        <f t="shared" si="7"/>
        <v> </v>
      </c>
    </row>
    <row r="81" spans="1:7" ht="12.75" hidden="1">
      <c r="A81" s="173" t="s">
        <v>83</v>
      </c>
      <c r="B81" s="173"/>
      <c r="C81" s="173"/>
      <c r="D81" s="55" t="str">
        <f t="shared" si="4"/>
        <v> </v>
      </c>
      <c r="E81" s="33" t="str">
        <f t="shared" si="5"/>
        <v> </v>
      </c>
      <c r="F81" s="56" t="str">
        <f t="shared" si="6"/>
        <v> </v>
      </c>
      <c r="G81" s="35" t="str">
        <f t="shared" si="7"/>
        <v> </v>
      </c>
    </row>
    <row r="82" spans="1:7" ht="12.75" hidden="1">
      <c r="A82" s="173" t="s">
        <v>84</v>
      </c>
      <c r="B82" s="173"/>
      <c r="C82" s="173"/>
      <c r="D82" s="55" t="str">
        <f t="shared" si="4"/>
        <v> </v>
      </c>
      <c r="E82" s="33" t="str">
        <f t="shared" si="5"/>
        <v> </v>
      </c>
      <c r="F82" s="56" t="str">
        <f t="shared" si="6"/>
        <v> </v>
      </c>
      <c r="G82" s="35" t="str">
        <f t="shared" si="7"/>
        <v> </v>
      </c>
    </row>
    <row r="83" spans="1:7" ht="12.75" hidden="1">
      <c r="A83" s="173" t="s">
        <v>85</v>
      </c>
      <c r="B83" s="173"/>
      <c r="C83" s="173"/>
      <c r="D83" s="55" t="str">
        <f>IF($A$47&lt;VALUE(LEFT(A83,2))," ",DATE(YEAR(D82+30),MONTH(D82+30),DAY(D82)))</f>
        <v> </v>
      </c>
      <c r="E83" s="33" t="str">
        <f>IF($A$47&lt;VALUE(LEFT(A83,2))," ",IF($A$47=VALUE(LEFT(A83,2)),$G$43-($E$48*($A$47-1)),E82))</f>
        <v> </v>
      </c>
      <c r="F83" s="56" t="str">
        <f>IF($A$47&lt;VALUE(LEFT(A83,2))," ",IF($A$47=VALUE(LEFT(A83,2)),$G$44-($F$48*($A$47-1)),F82))</f>
        <v> </v>
      </c>
      <c r="G83" s="35" t="str">
        <f>IF($A$47&lt;VALUE(LEFT(A83,2))," ",SUM(E83:F83))</f>
        <v> </v>
      </c>
    </row>
    <row r="84" spans="2:7" ht="12.75">
      <c r="B84" s="47"/>
      <c r="E84" s="43"/>
      <c r="F84" s="41"/>
      <c r="G84" s="48"/>
    </row>
    <row r="85" ht="12.75">
      <c r="A85" s="39" t="s">
        <v>86</v>
      </c>
    </row>
    <row r="86" spans="2:6" ht="12.75">
      <c r="B86" s="25" t="s">
        <v>87</v>
      </c>
      <c r="F86" s="57">
        <f>D48</f>
        <v>44014</v>
      </c>
    </row>
    <row r="87" spans="2:9" ht="12.75">
      <c r="B87" s="25" t="s">
        <v>88</v>
      </c>
      <c r="F87" s="57">
        <f>DATE(YEAR(MAX(D48:D71)+30),MONTH(MAX(D48:D71)+30),DAY(F86))</f>
        <v>44198</v>
      </c>
      <c r="G87" s="58">
        <f>ROUND(((G24+G25)*((100-A33)/100))+(G29*(100-A33)/100),2)</f>
        <v>4184902.75</v>
      </c>
      <c r="I87" s="35"/>
    </row>
    <row r="88" ht="12.75">
      <c r="B88" s="25" t="s">
        <v>89</v>
      </c>
    </row>
    <row r="90" spans="1:4" ht="12.75">
      <c r="A90" s="45" t="s">
        <v>31</v>
      </c>
      <c r="B90" s="59"/>
      <c r="C90" s="59"/>
      <c r="D90" s="59"/>
    </row>
    <row r="91" spans="1:7" ht="12.75">
      <c r="A91" s="170" t="s">
        <v>91</v>
      </c>
      <c r="B91" s="170"/>
      <c r="C91" s="170"/>
      <c r="D91" s="170"/>
      <c r="E91" s="170"/>
      <c r="F91" s="170"/>
      <c r="G91" s="170"/>
    </row>
    <row r="92" spans="1:4" ht="12.75">
      <c r="A92" s="59" t="s">
        <v>32</v>
      </c>
      <c r="B92" s="59"/>
      <c r="C92" s="59"/>
      <c r="D92" s="59"/>
    </row>
    <row r="93" spans="1:4" ht="12.75">
      <c r="A93" s="59" t="s">
        <v>33</v>
      </c>
      <c r="B93" s="59"/>
      <c r="C93" s="59"/>
      <c r="D93" s="59"/>
    </row>
    <row r="94" spans="1:4" ht="12.75">
      <c r="A94" s="59" t="s">
        <v>34</v>
      </c>
      <c r="B94" s="59"/>
      <c r="C94" s="59"/>
      <c r="D94" s="59"/>
    </row>
    <row r="95" spans="1:4" ht="12.75">
      <c r="A95" s="60" t="s">
        <v>35</v>
      </c>
      <c r="B95" s="59"/>
      <c r="C95" s="59"/>
      <c r="D95" s="59"/>
    </row>
    <row r="96" spans="1:4" ht="12.75">
      <c r="A96" s="60" t="s">
        <v>36</v>
      </c>
      <c r="B96" s="59"/>
      <c r="C96" s="59"/>
      <c r="D96" s="59"/>
    </row>
    <row r="97" spans="1:4" ht="12.75">
      <c r="A97" s="60" t="s">
        <v>37</v>
      </c>
      <c r="B97" s="59"/>
      <c r="C97" s="59"/>
      <c r="D97" s="59"/>
    </row>
    <row r="98" spans="1:4" ht="12.75">
      <c r="A98" s="60" t="s">
        <v>38</v>
      </c>
      <c r="B98" s="59"/>
      <c r="C98" s="59"/>
      <c r="D98" s="59"/>
    </row>
    <row r="99" spans="1:4" ht="12.75">
      <c r="A99" s="60" t="s">
        <v>39</v>
      </c>
      <c r="B99" s="59"/>
      <c r="C99" s="59"/>
      <c r="D99" s="59"/>
    </row>
    <row r="100" spans="1:7" ht="12.75">
      <c r="A100" s="170" t="s">
        <v>92</v>
      </c>
      <c r="B100" s="170"/>
      <c r="C100" s="170"/>
      <c r="D100" s="170"/>
      <c r="E100" s="170"/>
      <c r="F100" s="170"/>
      <c r="G100" s="170"/>
    </row>
  </sheetData>
  <sheetProtection/>
  <mergeCells count="45">
    <mergeCell ref="B1:F1"/>
    <mergeCell ref="B2:F2"/>
    <mergeCell ref="A3:G3"/>
    <mergeCell ref="F6:G6"/>
    <mergeCell ref="F7:G7"/>
    <mergeCell ref="B47:C47"/>
    <mergeCell ref="D16:F16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91:G91"/>
    <mergeCell ref="A100:G100"/>
    <mergeCell ref="A78:C78"/>
    <mergeCell ref="A79:C79"/>
    <mergeCell ref="A80:C80"/>
    <mergeCell ref="A81:C81"/>
    <mergeCell ref="A82:C82"/>
    <mergeCell ref="A83:C83"/>
  </mergeCells>
  <conditionalFormatting sqref="B11 B25">
    <cfRule type="expression" priority="2" dxfId="40" stopIfTrue="1">
      <formula>G11=0</formula>
    </cfRule>
  </conditionalFormatting>
  <conditionalFormatting sqref="A49:C56">
    <cfRule type="expression" priority="3" dxfId="40" stopIfTrue="1">
      <formula>VALUE(NoDPSchedule)&lt;VALUE(LEFT(A49,1))</formula>
    </cfRule>
  </conditionalFormatting>
  <conditionalFormatting sqref="A57:C83">
    <cfRule type="expression" priority="4" dxfId="40" stopIfTrue="1">
      <formula>VALUE(NoDPSchedule)&lt;VALUE(LEFT(A57,2))</formula>
    </cfRule>
  </conditionalFormatting>
  <conditionalFormatting sqref="G11 G25">
    <cfRule type="expression" priority="5" dxfId="40" stopIfTrue="1">
      <formula>G11=0</formula>
    </cfRule>
  </conditionalFormatting>
  <conditionalFormatting sqref="D4">
    <cfRule type="expression" priority="1" dxfId="41" stopIfTrue="1">
      <formula>G5&lt;=TODAY()</formula>
    </cfRule>
  </conditionalFormatting>
  <printOptions horizontalCentered="1"/>
  <pageMargins left="0.2362204724409449" right="0.2362204724409449" top="0.5118110236220472" bottom="0.5118110236220472" header="0.5118110236220472" footer="0.5118110236220472"/>
  <pageSetup fitToHeight="1" fitToWidth="1" horizontalDpi="300" verticalDpi="3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00"/>
  <sheetViews>
    <sheetView zoomScalePageLayoutView="0" workbookViewId="0" topLeftCell="A16">
      <selection activeCell="F32" sqref="F32"/>
    </sheetView>
  </sheetViews>
  <sheetFormatPr defaultColWidth="12.375" defaultRowHeight="12.75" customHeight="1"/>
  <cols>
    <col min="1" max="4" width="12.375" style="25" customWidth="1"/>
    <col min="5" max="5" width="14.625" style="25" customWidth="1"/>
    <col min="6" max="6" width="17.25390625" style="25" customWidth="1"/>
    <col min="7" max="7" width="18.00390625" style="25" customWidth="1"/>
    <col min="8" max="9" width="15.00390625" style="25" customWidth="1"/>
    <col min="10" max="10" width="14.125" style="25" customWidth="1"/>
    <col min="11" max="16384" width="12.375" style="25" customWidth="1"/>
  </cols>
  <sheetData>
    <row r="1" spans="1:7" ht="14.25" customHeight="1" thickTop="1">
      <c r="A1" s="23"/>
      <c r="B1" s="175" t="s">
        <v>1</v>
      </c>
      <c r="C1" s="175"/>
      <c r="D1" s="175"/>
      <c r="E1" s="175"/>
      <c r="F1" s="175"/>
      <c r="G1" s="24"/>
    </row>
    <row r="2" spans="1:7" ht="14.25" customHeight="1">
      <c r="A2" s="26"/>
      <c r="B2" s="176" t="s">
        <v>2</v>
      </c>
      <c r="C2" s="176"/>
      <c r="D2" s="176"/>
      <c r="E2" s="176"/>
      <c r="F2" s="176"/>
      <c r="G2" s="27"/>
    </row>
    <row r="3" spans="1:7" ht="30" customHeight="1">
      <c r="A3" s="166" t="s">
        <v>90</v>
      </c>
      <c r="B3" s="167"/>
      <c r="C3" s="167"/>
      <c r="D3" s="167"/>
      <c r="E3" s="167"/>
      <c r="F3" s="167"/>
      <c r="G3" s="168"/>
    </row>
    <row r="4" spans="1:7" ht="15" customHeight="1" thickBot="1">
      <c r="A4" s="61">
        <f>IF(A47&lt;=12,12,A47)</f>
        <v>36</v>
      </c>
      <c r="B4" s="62"/>
      <c r="C4" s="62"/>
      <c r="D4" s="63" t="str">
        <f>IF(A47&gt;G5,"TERM IS SUBJECT FOR APPROVAL","SAMPLE COMPUTATION ONLY")</f>
        <v>TERM IS SUBJECT FOR APPROVAL</v>
      </c>
      <c r="E4" s="62"/>
      <c r="F4" s="62"/>
      <c r="G4" s="64"/>
    </row>
    <row r="5" spans="1:7" ht="13.5" customHeight="1" thickTop="1">
      <c r="A5" s="65"/>
      <c r="B5" s="65"/>
      <c r="C5" s="65"/>
      <c r="D5" s="65"/>
      <c r="E5" s="65"/>
      <c r="F5" s="65"/>
      <c r="G5" s="66">
        <v>24</v>
      </c>
    </row>
    <row r="6" spans="1:7" ht="12.75">
      <c r="A6" s="67" t="s">
        <v>3</v>
      </c>
      <c r="B6" s="67" t="s">
        <v>4</v>
      </c>
      <c r="C6" s="67" t="s">
        <v>5</v>
      </c>
      <c r="D6" s="67" t="s">
        <v>6</v>
      </c>
      <c r="E6" s="67"/>
      <c r="F6" s="169" t="s">
        <v>7</v>
      </c>
      <c r="G6" s="169"/>
    </row>
    <row r="7" spans="1:7" ht="12.75">
      <c r="A7" s="68">
        <v>3</v>
      </c>
      <c r="B7" s="68">
        <v>711</v>
      </c>
      <c r="C7" s="68">
        <v>7</v>
      </c>
      <c r="D7" s="68">
        <v>23.16</v>
      </c>
      <c r="E7" s="68"/>
      <c r="F7" s="164" t="s">
        <v>8</v>
      </c>
      <c r="G7" s="164"/>
    </row>
    <row r="8" spans="1:7" ht="12.75" customHeight="1">
      <c r="A8" s="65"/>
      <c r="B8" s="65"/>
      <c r="C8" s="65"/>
      <c r="D8" s="65"/>
      <c r="E8" s="65"/>
      <c r="F8" s="65"/>
      <c r="G8" s="65"/>
    </row>
    <row r="9" spans="1:7" ht="12.75" customHeight="1">
      <c r="A9" s="65"/>
      <c r="B9" s="65"/>
      <c r="C9" s="65"/>
      <c r="D9" s="65"/>
      <c r="E9" s="65"/>
      <c r="F9" s="65"/>
      <c r="G9" s="65"/>
    </row>
    <row r="10" spans="1:7" ht="12.75">
      <c r="A10" s="69" t="s">
        <v>9</v>
      </c>
      <c r="B10" s="69"/>
      <c r="C10" s="70"/>
      <c r="D10" s="71"/>
      <c r="E10" s="71"/>
      <c r="F10" s="72" t="s">
        <v>10</v>
      </c>
      <c r="G10" s="73">
        <v>5409000</v>
      </c>
    </row>
    <row r="11" spans="1:7" ht="12.75">
      <c r="A11" s="25" t="s">
        <v>11</v>
      </c>
      <c r="B11" s="25" t="s">
        <v>12</v>
      </c>
      <c r="C11" s="31"/>
      <c r="F11" s="32"/>
      <c r="G11" s="33">
        <f>ROUND(IF(ISERROR(FIND("PARKING",Model,1)),IF(SellingPrice&gt;3199200,(G10-(G10/1.12)),0),(G10-(G10/1.12))),2)</f>
        <v>579535.71</v>
      </c>
    </row>
    <row r="12" spans="1:10" ht="12.75" hidden="1">
      <c r="A12" s="34">
        <v>5</v>
      </c>
      <c r="B12" s="25" t="str">
        <f>CONCATENATE(A12,"% Discount on ",A39,"% SFDP")</f>
        <v>5% Discount on 10% SFDP</v>
      </c>
      <c r="F12" s="32"/>
      <c r="G12" s="35"/>
      <c r="I12" s="35"/>
      <c r="J12" s="35"/>
    </row>
    <row r="13" spans="2:10" ht="12.75" hidden="1">
      <c r="B13" s="25" t="s">
        <v>13</v>
      </c>
      <c r="G13" s="35">
        <v>0</v>
      </c>
      <c r="I13" s="35"/>
      <c r="J13" s="35"/>
    </row>
    <row r="14" spans="2:10" ht="12.75" hidden="1">
      <c r="B14" s="25" t="s">
        <v>14</v>
      </c>
      <c r="G14" s="35">
        <v>0</v>
      </c>
      <c r="I14" s="35"/>
      <c r="J14" s="35"/>
    </row>
    <row r="15" spans="2:9" ht="12.75" hidden="1">
      <c r="B15" s="25" t="s">
        <v>15</v>
      </c>
      <c r="G15" s="35">
        <v>0</v>
      </c>
      <c r="I15" s="35"/>
    </row>
    <row r="16" spans="2:9" ht="12.75">
      <c r="B16" s="25" t="s">
        <v>16</v>
      </c>
      <c r="D16" s="177" t="s">
        <v>112</v>
      </c>
      <c r="E16" s="177"/>
      <c r="F16" s="177"/>
      <c r="G16" s="35">
        <v>80000</v>
      </c>
      <c r="I16" s="35"/>
    </row>
    <row r="17" spans="2:9" ht="12.75" hidden="1">
      <c r="B17" s="25" t="s">
        <v>110</v>
      </c>
      <c r="G17" s="35">
        <v>0</v>
      </c>
      <c r="I17" s="35"/>
    </row>
    <row r="18" spans="2:10" ht="12.75" hidden="1">
      <c r="B18" s="25" t="s">
        <v>18</v>
      </c>
      <c r="G18" s="35">
        <v>0</v>
      </c>
      <c r="H18" s="35"/>
      <c r="I18" s="35"/>
      <c r="J18" s="35"/>
    </row>
    <row r="19" spans="2:10" ht="12.75" hidden="1">
      <c r="B19" s="25" t="s">
        <v>19</v>
      </c>
      <c r="G19" s="35">
        <v>0</v>
      </c>
      <c r="J19" s="35"/>
    </row>
    <row r="20" spans="2:10" ht="12.75" hidden="1">
      <c r="B20" s="25" t="s">
        <v>20</v>
      </c>
      <c r="G20" s="35">
        <v>0</v>
      </c>
      <c r="J20" s="35"/>
    </row>
    <row r="21" spans="2:10" ht="12.75" hidden="1">
      <c r="B21" s="25" t="s">
        <v>21</v>
      </c>
      <c r="G21" s="35">
        <v>0</v>
      </c>
      <c r="J21" s="35"/>
    </row>
    <row r="22" spans="2:10" ht="12.75" hidden="1">
      <c r="B22" s="25" t="s">
        <v>22</v>
      </c>
      <c r="G22" s="35">
        <v>0</v>
      </c>
      <c r="J22" s="35"/>
    </row>
    <row r="23" spans="6:10" ht="13.5" customHeight="1" thickBot="1">
      <c r="F23" s="32"/>
      <c r="G23" s="36"/>
      <c r="J23" s="35"/>
    </row>
    <row r="24" spans="1:7" ht="13.5" customHeight="1" thickTop="1">
      <c r="A24" s="28" t="s">
        <v>40</v>
      </c>
      <c r="B24" s="37"/>
      <c r="C24" s="29"/>
      <c r="D24" s="29"/>
      <c r="E24" s="29"/>
      <c r="F24" s="30" t="s">
        <v>10</v>
      </c>
      <c r="G24" s="38">
        <f>(SellingPrice-G11)-SUM(G12:G22)</f>
        <v>4749464.29</v>
      </c>
    </row>
    <row r="25" spans="1:9" ht="12.75">
      <c r="A25" s="25" t="s">
        <v>24</v>
      </c>
      <c r="B25" s="25" t="s">
        <v>12</v>
      </c>
      <c r="G25" s="35">
        <f>ROUND(IF(ISERROR(FIND("PARKING",Model,1)),IF(G24&gt;3199200,G24*12%,0),G24*12%),2)</f>
        <v>569935.71</v>
      </c>
      <c r="I25" s="35"/>
    </row>
    <row r="26" spans="1:7" ht="12.75" hidden="1">
      <c r="A26" s="34">
        <v>7</v>
      </c>
      <c r="B26" s="25" t="s">
        <v>25</v>
      </c>
      <c r="G26" s="35">
        <f>ROUND(G24*(A26/100),2)</f>
        <v>332462.5</v>
      </c>
    </row>
    <row r="27" spans="1:7" ht="12.75" hidden="1">
      <c r="A27" s="34"/>
      <c r="B27" s="25" t="s">
        <v>26</v>
      </c>
      <c r="F27" s="34">
        <f>IF(G27&gt;50000,50000,G27)</f>
        <v>0</v>
      </c>
      <c r="G27" s="35">
        <v>0</v>
      </c>
    </row>
    <row r="28" spans="1:7" ht="12.75" hidden="1">
      <c r="A28" s="34"/>
      <c r="B28" s="25" t="s">
        <v>27</v>
      </c>
      <c r="G28" s="35">
        <v>0</v>
      </c>
    </row>
    <row r="29" spans="1:7" ht="13.5" customHeight="1" thickBot="1">
      <c r="A29" s="34"/>
      <c r="B29" s="25" t="s">
        <v>25</v>
      </c>
      <c r="G29" s="35">
        <f>ROUND(SUM(G26,G28,F27),2)+60000</f>
        <v>392462.5</v>
      </c>
    </row>
    <row r="30" spans="1:7" ht="13.5" customHeight="1" thickTop="1">
      <c r="A30" s="28" t="s">
        <v>28</v>
      </c>
      <c r="B30" s="29"/>
      <c r="C30" s="29"/>
      <c r="D30" s="29"/>
      <c r="E30" s="29"/>
      <c r="F30" s="30" t="s">
        <v>10</v>
      </c>
      <c r="G30" s="38">
        <f>G24+SUM(G25,G29)</f>
        <v>5711862.5</v>
      </c>
    </row>
    <row r="32" ht="12.75">
      <c r="A32" s="39" t="s">
        <v>41</v>
      </c>
    </row>
    <row r="33" spans="1:7" ht="12.75">
      <c r="A33" s="40">
        <v>20</v>
      </c>
      <c r="B33" s="25" t="str">
        <f>CONCATENATE("Downpayment ("&amp;A33&amp;"% of Selling Price)")</f>
        <v>Downpayment (20% of Selling Price)</v>
      </c>
      <c r="G33" s="35">
        <f>ROUND((G24+G25)*(A33/100),2)</f>
        <v>1063880</v>
      </c>
    </row>
    <row r="34" spans="1:7" ht="13.5" customHeight="1" thickBot="1">
      <c r="A34" s="39"/>
      <c r="B34" s="25" t="s">
        <v>42</v>
      </c>
      <c r="G34" s="35">
        <f>ROUND(G29*(A33/100),2)</f>
        <v>78492.5</v>
      </c>
    </row>
    <row r="35" spans="1:7" ht="13.5" customHeight="1" thickTop="1">
      <c r="A35" s="28" t="s">
        <v>43</v>
      </c>
      <c r="B35" s="29"/>
      <c r="C35" s="29"/>
      <c r="D35" s="29"/>
      <c r="E35" s="29"/>
      <c r="F35" s="30" t="s">
        <v>10</v>
      </c>
      <c r="G35" s="38">
        <f>SUM(G33:G34)</f>
        <v>1142372.5</v>
      </c>
    </row>
    <row r="36" spans="1:7" ht="13.5" customHeight="1" thickBot="1">
      <c r="A36" s="25" t="s">
        <v>11</v>
      </c>
      <c r="B36" s="25" t="s">
        <v>29</v>
      </c>
      <c r="F36" s="41">
        <f ca="1">NOW()</f>
        <v>44211.77902361111</v>
      </c>
      <c r="G36" s="35">
        <v>20000</v>
      </c>
    </row>
    <row r="37" spans="1:7" ht="13.5" customHeight="1" thickTop="1">
      <c r="A37" s="28" t="s">
        <v>44</v>
      </c>
      <c r="B37" s="29"/>
      <c r="C37" s="29"/>
      <c r="D37" s="29"/>
      <c r="E37" s="42"/>
      <c r="F37" s="30" t="s">
        <v>10</v>
      </c>
      <c r="G37" s="38">
        <f>G35-G36</f>
        <v>1122372.5</v>
      </c>
    </row>
    <row r="39" spans="1:10" ht="12.75">
      <c r="A39" s="34">
        <v>10</v>
      </c>
      <c r="B39" s="25" t="str">
        <f>CONCATENATE("Spot Downpayment ("&amp;A39&amp;"% of Selling Price)")</f>
        <v>Spot Downpayment (10% of Selling Price)</v>
      </c>
      <c r="E39" s="43"/>
      <c r="F39" s="41"/>
      <c r="G39" s="35">
        <f>ROUND((SUM(G24:G25)*(A39/100))-G36,2)</f>
        <v>511940</v>
      </c>
      <c r="H39" s="35"/>
      <c r="I39" s="35"/>
      <c r="J39" s="44"/>
    </row>
    <row r="40" spans="2:10" ht="13.5" customHeight="1" thickBot="1">
      <c r="B40" s="25" t="s">
        <v>25</v>
      </c>
      <c r="E40" s="43"/>
      <c r="F40" s="41"/>
      <c r="G40" s="35">
        <f>ROUND(G29*(A39/100),2)</f>
        <v>39246.25</v>
      </c>
      <c r="J40" s="35"/>
    </row>
    <row r="41" spans="2:7" ht="13.5" customHeight="1" thickTop="1">
      <c r="B41" s="45" t="s">
        <v>45</v>
      </c>
      <c r="E41" s="43"/>
      <c r="F41" s="149">
        <f>ReservationDate+19</f>
        <v>44230.77902361111</v>
      </c>
      <c r="G41" s="46">
        <f>SUM(G39:G40)</f>
        <v>551186.25</v>
      </c>
    </row>
    <row r="42" spans="2:7" ht="12.75">
      <c r="B42" s="47"/>
      <c r="E42" s="43"/>
      <c r="F42" s="41"/>
      <c r="G42" s="48"/>
    </row>
    <row r="43" spans="1:7" ht="12.75">
      <c r="A43" s="34">
        <f>A33-A39</f>
        <v>10</v>
      </c>
      <c r="B43" s="49" t="str">
        <f>CONCATENATE("Streched Downpayment ("&amp;A43&amp;"% of Selling Price)")</f>
        <v>Streched Downpayment (10% of Selling Price)</v>
      </c>
      <c r="E43" s="43"/>
      <c r="F43" s="41"/>
      <c r="G43" s="35">
        <f>G33-G39-ReservationFee</f>
        <v>531940</v>
      </c>
    </row>
    <row r="44" spans="2:7" ht="13.5" customHeight="1" thickBot="1">
      <c r="B44" s="49" t="s">
        <v>25</v>
      </c>
      <c r="E44" s="43"/>
      <c r="F44" s="41"/>
      <c r="G44" s="35">
        <f>SUM(G34:G34)-G40</f>
        <v>39246.25</v>
      </c>
    </row>
    <row r="45" spans="2:7" ht="13.5" customHeight="1" thickTop="1">
      <c r="B45" s="45" t="str">
        <f>CONCATENATE("Total Streched DP and Other Charges payable in "&amp;A47&amp;" months")</f>
        <v>Total Streched DP and Other Charges payable in 36 months</v>
      </c>
      <c r="E45" s="43"/>
      <c r="F45" s="41"/>
      <c r="G45" s="46">
        <f>SUM(G43:G44)</f>
        <v>571186.25</v>
      </c>
    </row>
    <row r="46" spans="2:7" ht="12.75">
      <c r="B46" s="49"/>
      <c r="E46" s="43"/>
      <c r="F46" s="41"/>
      <c r="G46" s="48"/>
    </row>
    <row r="47" spans="1:7" ht="25.5" customHeight="1">
      <c r="A47" s="50">
        <v>36</v>
      </c>
      <c r="B47" s="174" t="s">
        <v>46</v>
      </c>
      <c r="C47" s="174"/>
      <c r="D47" s="51" t="s">
        <v>47</v>
      </c>
      <c r="E47" s="52" t="s">
        <v>48</v>
      </c>
      <c r="F47" s="53" t="s">
        <v>25</v>
      </c>
      <c r="G47" s="54" t="s">
        <v>49</v>
      </c>
    </row>
    <row r="48" spans="1:7" ht="12.75">
      <c r="A48" s="173" t="s">
        <v>50</v>
      </c>
      <c r="B48" s="173"/>
      <c r="C48" s="173"/>
      <c r="D48" s="55">
        <f>IF(AND(DAY(F41)&gt;2,DAY(F41)&lt;19),DATE(YEAR(F41+30),MONTH(F41+30),DAY(17)),DATE(YEAR(F41+30),IF(DAY(F41)&gt;18,MONTH(F41+30)+1,MONTH(F41+30)),DAY(2)))</f>
        <v>44272</v>
      </c>
      <c r="E48" s="33">
        <f>ROUND(G43/A47,2)</f>
        <v>14776.11</v>
      </c>
      <c r="F48" s="56">
        <f>ROUND(G44/A47,2)</f>
        <v>1090.17</v>
      </c>
      <c r="G48" s="35">
        <f>SUM(E48:F48)</f>
        <v>15866.28</v>
      </c>
    </row>
    <row r="49" spans="1:7" ht="12.75">
      <c r="A49" s="173" t="s">
        <v>51</v>
      </c>
      <c r="B49" s="173"/>
      <c r="C49" s="173"/>
      <c r="D49" s="55">
        <f>IF($A$47&lt;VALUE(LEFT(A49,1))," ",DATE(YEAR(D48+30),MONTH(D48+30),DAY(D48)))</f>
        <v>44303</v>
      </c>
      <c r="E49" s="33">
        <f>IF($A$47&lt;VALUE(LEFT(A49,1))," ",IF($A$47=VALUE(LEFT(A49,1)),$G$43-($E$48*($A$47-1)),E48))</f>
        <v>14776.11</v>
      </c>
      <c r="F49" s="56">
        <f>IF($A$47&lt;VALUE(LEFT(A49,1))," ",IF($A$47=VALUE(LEFT(A49,1)),$G$44-($F$48*($A$47-1)),F48))</f>
        <v>1090.17</v>
      </c>
      <c r="G49" s="35">
        <f>IF($A$47&lt;VALUE(LEFT(A49,1))," ",SUM(E49:F49))</f>
        <v>15866.28</v>
      </c>
    </row>
    <row r="50" spans="1:7" ht="12.75">
      <c r="A50" s="173" t="s">
        <v>52</v>
      </c>
      <c r="B50" s="173"/>
      <c r="C50" s="173"/>
      <c r="D50" s="55">
        <f>IF($A$47&lt;VALUE(LEFT(A50,1))," ",DATE(YEAR(D49+30),MONTH(D49+30),DAY(D49)))</f>
        <v>44333</v>
      </c>
      <c r="E50" s="33">
        <f aca="true" t="shared" si="0" ref="E50:E56">IF($A$47&lt;VALUE(LEFT(A50,1))," ",IF($A$47=VALUE(LEFT(A50,1)),$G$43-($E$48*($A$47-1)),E49))</f>
        <v>14776.11</v>
      </c>
      <c r="F50" s="56">
        <f aca="true" t="shared" si="1" ref="F50:F56">IF($A$47&lt;VALUE(LEFT(A50,1))," ",IF($A$47=VALUE(LEFT(A50,1)),$G$44-($F$48*($A$47-1)),F49))</f>
        <v>1090.17</v>
      </c>
      <c r="G50" s="35">
        <f aca="true" t="shared" si="2" ref="G50:G56">IF($A$47&lt;VALUE(LEFT(A50,1))," ",SUM(E50:F50))</f>
        <v>15866.28</v>
      </c>
    </row>
    <row r="51" spans="1:7" ht="12.75">
      <c r="A51" s="173" t="s">
        <v>53</v>
      </c>
      <c r="B51" s="173"/>
      <c r="C51" s="173"/>
      <c r="D51" s="55">
        <f aca="true" t="shared" si="3" ref="D51:D56">IF($A$47&lt;VALUE(LEFT(A51,1))," ",DATE(YEAR(D50+30),MONTH(D50+30),DAY(D50)))</f>
        <v>44364</v>
      </c>
      <c r="E51" s="33">
        <f t="shared" si="0"/>
        <v>14776.11</v>
      </c>
      <c r="F51" s="56">
        <f t="shared" si="1"/>
        <v>1090.17</v>
      </c>
      <c r="G51" s="35">
        <f t="shared" si="2"/>
        <v>15866.28</v>
      </c>
    </row>
    <row r="52" spans="1:7" ht="12.75">
      <c r="A52" s="173" t="s">
        <v>54</v>
      </c>
      <c r="B52" s="173"/>
      <c r="C52" s="173"/>
      <c r="D52" s="55">
        <f t="shared" si="3"/>
        <v>44394</v>
      </c>
      <c r="E52" s="33">
        <f t="shared" si="0"/>
        <v>14776.11</v>
      </c>
      <c r="F52" s="56">
        <f t="shared" si="1"/>
        <v>1090.17</v>
      </c>
      <c r="G52" s="35">
        <f t="shared" si="2"/>
        <v>15866.28</v>
      </c>
    </row>
    <row r="53" spans="1:7" ht="12.75">
      <c r="A53" s="173" t="s">
        <v>55</v>
      </c>
      <c r="B53" s="173"/>
      <c r="C53" s="173"/>
      <c r="D53" s="55">
        <f t="shared" si="3"/>
        <v>44425</v>
      </c>
      <c r="E53" s="33">
        <f t="shared" si="0"/>
        <v>14776.11</v>
      </c>
      <c r="F53" s="56">
        <f t="shared" si="1"/>
        <v>1090.17</v>
      </c>
      <c r="G53" s="35">
        <f t="shared" si="2"/>
        <v>15866.28</v>
      </c>
    </row>
    <row r="54" spans="1:7" ht="12.75">
      <c r="A54" s="173" t="s">
        <v>56</v>
      </c>
      <c r="B54" s="173"/>
      <c r="C54" s="173"/>
      <c r="D54" s="55">
        <f t="shared" si="3"/>
        <v>44456</v>
      </c>
      <c r="E54" s="33">
        <f t="shared" si="0"/>
        <v>14776.11</v>
      </c>
      <c r="F54" s="56">
        <f t="shared" si="1"/>
        <v>1090.17</v>
      </c>
      <c r="G54" s="35">
        <f t="shared" si="2"/>
        <v>15866.28</v>
      </c>
    </row>
    <row r="55" spans="1:7" ht="12.75">
      <c r="A55" s="173" t="s">
        <v>57</v>
      </c>
      <c r="B55" s="173"/>
      <c r="C55" s="173"/>
      <c r="D55" s="55">
        <f t="shared" si="3"/>
        <v>44486</v>
      </c>
      <c r="E55" s="33">
        <f t="shared" si="0"/>
        <v>14776.11</v>
      </c>
      <c r="F55" s="56">
        <f t="shared" si="1"/>
        <v>1090.17</v>
      </c>
      <c r="G55" s="35">
        <f t="shared" si="2"/>
        <v>15866.28</v>
      </c>
    </row>
    <row r="56" spans="1:7" ht="12.75">
      <c r="A56" s="173" t="s">
        <v>58</v>
      </c>
      <c r="B56" s="173"/>
      <c r="C56" s="173"/>
      <c r="D56" s="55">
        <f t="shared" si="3"/>
        <v>44517</v>
      </c>
      <c r="E56" s="33">
        <f t="shared" si="0"/>
        <v>14776.11</v>
      </c>
      <c r="F56" s="56">
        <f t="shared" si="1"/>
        <v>1090.17</v>
      </c>
      <c r="G56" s="35">
        <f t="shared" si="2"/>
        <v>15866.28</v>
      </c>
    </row>
    <row r="57" spans="1:7" ht="12.75">
      <c r="A57" s="173" t="s">
        <v>59</v>
      </c>
      <c r="B57" s="173"/>
      <c r="C57" s="173"/>
      <c r="D57" s="55">
        <f>IF($A$47&lt;VALUE(LEFT(A57,2))," ",DATE(YEAR(D56+30),MONTH(D56+30),DAY(D56)))</f>
        <v>44547</v>
      </c>
      <c r="E57" s="33">
        <f>IF($A$47&lt;VALUE(LEFT(A57,2))," ",IF($A$47=VALUE(LEFT(A57,2)),$G$43-($E$48*($A$47-1)),E56))</f>
        <v>14776.11</v>
      </c>
      <c r="F57" s="56">
        <f>IF($A$47&lt;VALUE(LEFT(A57,2))," ",IF($A$47=VALUE(LEFT(A57,2)),$G$44-($F$48*($A$47-1)),F56))</f>
        <v>1090.17</v>
      </c>
      <c r="G57" s="35">
        <f>IF($A$47&lt;VALUE(LEFT(A57,2))," ",SUM(E57:F57))</f>
        <v>15866.28</v>
      </c>
    </row>
    <row r="58" spans="1:7" ht="12.75">
      <c r="A58" s="173" t="s">
        <v>60</v>
      </c>
      <c r="B58" s="173"/>
      <c r="C58" s="173"/>
      <c r="D58" s="55">
        <f aca="true" t="shared" si="4" ref="D58:D65">IF($A$47&lt;VALUE(LEFT(A58,2))," ",DATE(YEAR(D57+30),MONTH(D57+30),DAY(D57)))</f>
        <v>44578</v>
      </c>
      <c r="E58" s="33">
        <f aca="true" t="shared" si="5" ref="E58:E65">IF($A$47&lt;VALUE(LEFT(A58,2))," ",IF($A$47=VALUE(LEFT(A58,2)),$G$43-($E$48*($A$47-1)),E57))</f>
        <v>14776.11</v>
      </c>
      <c r="F58" s="56">
        <f aca="true" t="shared" si="6" ref="F58:F65">IF($A$47&lt;VALUE(LEFT(A58,2))," ",IF($A$47=VALUE(LEFT(A58,2)),$G$44-($F$48*($A$47-1)),F57))</f>
        <v>1090.17</v>
      </c>
      <c r="G58" s="35">
        <f aca="true" t="shared" si="7" ref="G58:G65">IF($A$47&lt;VALUE(LEFT(A58,2))," ",SUM(E58:F58))</f>
        <v>15866.28</v>
      </c>
    </row>
    <row r="59" spans="1:7" ht="12.75">
      <c r="A59" s="173" t="s">
        <v>61</v>
      </c>
      <c r="B59" s="173"/>
      <c r="C59" s="173"/>
      <c r="D59" s="55">
        <f t="shared" si="4"/>
        <v>44609</v>
      </c>
      <c r="E59" s="33">
        <f t="shared" si="5"/>
        <v>14776.11</v>
      </c>
      <c r="F59" s="56">
        <f t="shared" si="6"/>
        <v>1090.17</v>
      </c>
      <c r="G59" s="35">
        <f t="shared" si="7"/>
        <v>15866.28</v>
      </c>
    </row>
    <row r="60" spans="1:7" ht="12.75">
      <c r="A60" s="173" t="s">
        <v>62</v>
      </c>
      <c r="B60" s="173"/>
      <c r="C60" s="173"/>
      <c r="D60" s="55">
        <f t="shared" si="4"/>
        <v>44637</v>
      </c>
      <c r="E60" s="33">
        <f t="shared" si="5"/>
        <v>14776.11</v>
      </c>
      <c r="F60" s="56">
        <f t="shared" si="6"/>
        <v>1090.17</v>
      </c>
      <c r="G60" s="35">
        <f t="shared" si="7"/>
        <v>15866.28</v>
      </c>
    </row>
    <row r="61" spans="1:7" ht="12.75">
      <c r="A61" s="173" t="s">
        <v>63</v>
      </c>
      <c r="B61" s="173"/>
      <c r="C61" s="173"/>
      <c r="D61" s="55">
        <f t="shared" si="4"/>
        <v>44668</v>
      </c>
      <c r="E61" s="33">
        <f t="shared" si="5"/>
        <v>14776.11</v>
      </c>
      <c r="F61" s="56">
        <f t="shared" si="6"/>
        <v>1090.17</v>
      </c>
      <c r="G61" s="35">
        <f t="shared" si="7"/>
        <v>15866.28</v>
      </c>
    </row>
    <row r="62" spans="1:7" ht="12.75">
      <c r="A62" s="173" t="s">
        <v>64</v>
      </c>
      <c r="B62" s="173"/>
      <c r="C62" s="173"/>
      <c r="D62" s="55">
        <f t="shared" si="4"/>
        <v>44698</v>
      </c>
      <c r="E62" s="33">
        <f t="shared" si="5"/>
        <v>14776.11</v>
      </c>
      <c r="F62" s="56">
        <f t="shared" si="6"/>
        <v>1090.17</v>
      </c>
      <c r="G62" s="35">
        <f t="shared" si="7"/>
        <v>15866.28</v>
      </c>
    </row>
    <row r="63" spans="1:7" ht="12.75">
      <c r="A63" s="173" t="s">
        <v>65</v>
      </c>
      <c r="B63" s="173"/>
      <c r="C63" s="173"/>
      <c r="D63" s="55">
        <f t="shared" si="4"/>
        <v>44729</v>
      </c>
      <c r="E63" s="33">
        <f t="shared" si="5"/>
        <v>14776.11</v>
      </c>
      <c r="F63" s="56">
        <f t="shared" si="6"/>
        <v>1090.17</v>
      </c>
      <c r="G63" s="35">
        <f t="shared" si="7"/>
        <v>15866.28</v>
      </c>
    </row>
    <row r="64" spans="1:7" ht="12.75">
      <c r="A64" s="173" t="s">
        <v>66</v>
      </c>
      <c r="B64" s="173"/>
      <c r="C64" s="173"/>
      <c r="D64" s="55">
        <f t="shared" si="4"/>
        <v>44759</v>
      </c>
      <c r="E64" s="33">
        <f t="shared" si="5"/>
        <v>14776.11</v>
      </c>
      <c r="F64" s="56">
        <f t="shared" si="6"/>
        <v>1090.17</v>
      </c>
      <c r="G64" s="35">
        <f t="shared" si="7"/>
        <v>15866.28</v>
      </c>
    </row>
    <row r="65" spans="1:7" ht="12.75">
      <c r="A65" s="173" t="s">
        <v>67</v>
      </c>
      <c r="B65" s="173"/>
      <c r="C65" s="173"/>
      <c r="D65" s="55">
        <f t="shared" si="4"/>
        <v>44790</v>
      </c>
      <c r="E65" s="33">
        <f t="shared" si="5"/>
        <v>14776.11</v>
      </c>
      <c r="F65" s="56">
        <f t="shared" si="6"/>
        <v>1090.17</v>
      </c>
      <c r="G65" s="35">
        <f t="shared" si="7"/>
        <v>15866.28</v>
      </c>
    </row>
    <row r="66" spans="1:7" ht="12.75">
      <c r="A66" s="173" t="s">
        <v>68</v>
      </c>
      <c r="B66" s="173"/>
      <c r="C66" s="173"/>
      <c r="D66" s="55">
        <f aca="true" t="shared" si="8" ref="D66:D72">IF($A$47&lt;VALUE(LEFT(A66,2))," ",DATE(YEAR(D65+30),MONTH(D65+30),DAY(D65)))</f>
        <v>44821</v>
      </c>
      <c r="E66" s="33">
        <f aca="true" t="shared" si="9" ref="E66:E72">IF($A$47&lt;VALUE(LEFT(A66,2))," ",IF($A$47=VALUE(LEFT(A66,2)),$G$43-($E$48*($A$47-1)),E65))</f>
        <v>14776.11</v>
      </c>
      <c r="F66" s="56">
        <f aca="true" t="shared" si="10" ref="F66:F72">IF($A$47&lt;VALUE(LEFT(A66,2))," ",IF($A$47=VALUE(LEFT(A66,2)),$G$44-($F$48*($A$47-1)),F65))</f>
        <v>1090.17</v>
      </c>
      <c r="G66" s="35">
        <f aca="true" t="shared" si="11" ref="G66:G72">IF($A$47&lt;VALUE(LEFT(A66,2))," ",SUM(E66:F66))</f>
        <v>15866.28</v>
      </c>
    </row>
    <row r="67" spans="1:7" ht="12.75">
      <c r="A67" s="173" t="s">
        <v>69</v>
      </c>
      <c r="B67" s="173"/>
      <c r="C67" s="173"/>
      <c r="D67" s="55">
        <f t="shared" si="8"/>
        <v>44851</v>
      </c>
      <c r="E67" s="33">
        <f t="shared" si="9"/>
        <v>14776.11</v>
      </c>
      <c r="F67" s="56">
        <f t="shared" si="10"/>
        <v>1090.17</v>
      </c>
      <c r="G67" s="35">
        <f t="shared" si="11"/>
        <v>15866.28</v>
      </c>
    </row>
    <row r="68" spans="1:7" ht="12.75">
      <c r="A68" s="173" t="s">
        <v>70</v>
      </c>
      <c r="B68" s="173"/>
      <c r="C68" s="173"/>
      <c r="D68" s="55">
        <f t="shared" si="8"/>
        <v>44882</v>
      </c>
      <c r="E68" s="33">
        <f t="shared" si="9"/>
        <v>14776.11</v>
      </c>
      <c r="F68" s="56">
        <f t="shared" si="10"/>
        <v>1090.17</v>
      </c>
      <c r="G68" s="35">
        <f t="shared" si="11"/>
        <v>15866.28</v>
      </c>
    </row>
    <row r="69" spans="1:7" ht="12.75">
      <c r="A69" s="173" t="s">
        <v>71</v>
      </c>
      <c r="B69" s="173"/>
      <c r="C69" s="173"/>
      <c r="D69" s="55">
        <f t="shared" si="8"/>
        <v>44912</v>
      </c>
      <c r="E69" s="33">
        <f t="shared" si="9"/>
        <v>14776.11</v>
      </c>
      <c r="F69" s="56">
        <f t="shared" si="10"/>
        <v>1090.17</v>
      </c>
      <c r="G69" s="35">
        <f t="shared" si="11"/>
        <v>15866.28</v>
      </c>
    </row>
    <row r="70" spans="1:7" ht="12.75">
      <c r="A70" s="173" t="s">
        <v>72</v>
      </c>
      <c r="B70" s="173"/>
      <c r="C70" s="173"/>
      <c r="D70" s="55">
        <f t="shared" si="8"/>
        <v>44943</v>
      </c>
      <c r="E70" s="33">
        <f t="shared" si="9"/>
        <v>14776.11</v>
      </c>
      <c r="F70" s="56">
        <f t="shared" si="10"/>
        <v>1090.17</v>
      </c>
      <c r="G70" s="35">
        <f t="shared" si="11"/>
        <v>15866.28</v>
      </c>
    </row>
    <row r="71" spans="1:7" ht="12.75">
      <c r="A71" s="173" t="s">
        <v>73</v>
      </c>
      <c r="B71" s="173"/>
      <c r="C71" s="173"/>
      <c r="D71" s="55">
        <f t="shared" si="8"/>
        <v>44974</v>
      </c>
      <c r="E71" s="33">
        <f t="shared" si="9"/>
        <v>14776.11</v>
      </c>
      <c r="F71" s="56">
        <f t="shared" si="10"/>
        <v>1090.17</v>
      </c>
      <c r="G71" s="35">
        <f t="shared" si="11"/>
        <v>15866.28</v>
      </c>
    </row>
    <row r="72" spans="1:7" ht="12.75">
      <c r="A72" s="173" t="s">
        <v>74</v>
      </c>
      <c r="B72" s="173"/>
      <c r="C72" s="173"/>
      <c r="D72" s="55">
        <f t="shared" si="8"/>
        <v>45002</v>
      </c>
      <c r="E72" s="33">
        <f t="shared" si="9"/>
        <v>14776.11</v>
      </c>
      <c r="F72" s="56">
        <f t="shared" si="10"/>
        <v>1090.17</v>
      </c>
      <c r="G72" s="35">
        <f t="shared" si="11"/>
        <v>15866.28</v>
      </c>
    </row>
    <row r="73" spans="1:7" ht="12.75">
      <c r="A73" s="173" t="s">
        <v>75</v>
      </c>
      <c r="B73" s="173"/>
      <c r="C73" s="173"/>
      <c r="D73" s="55">
        <f aca="true" t="shared" si="12" ref="D73:D83">IF($A$47&lt;VALUE(LEFT(A73,2))," ",DATE(YEAR(D72+30),MONTH(D72+30),DAY(D72)))</f>
        <v>45033</v>
      </c>
      <c r="E73" s="33">
        <f aca="true" t="shared" si="13" ref="E73:E83">IF($A$47&lt;VALUE(LEFT(A73,2))," ",IF($A$47=VALUE(LEFT(A73,2)),$G$43-($E$48*($A$47-1)),E72))</f>
        <v>14776.11</v>
      </c>
      <c r="F73" s="56">
        <f aca="true" t="shared" si="14" ref="F73:F83">IF($A$47&lt;VALUE(LEFT(A73,2))," ",IF($A$47=VALUE(LEFT(A73,2)),$G$44-($F$48*($A$47-1)),F72))</f>
        <v>1090.17</v>
      </c>
      <c r="G73" s="35">
        <f aca="true" t="shared" si="15" ref="G73:G83">IF($A$47&lt;VALUE(LEFT(A73,2))," ",SUM(E73:F73))</f>
        <v>15866.28</v>
      </c>
    </row>
    <row r="74" spans="1:7" ht="12.75">
      <c r="A74" s="173" t="s">
        <v>76</v>
      </c>
      <c r="B74" s="173"/>
      <c r="C74" s="173"/>
      <c r="D74" s="55">
        <f t="shared" si="12"/>
        <v>45063</v>
      </c>
      <c r="E74" s="33">
        <f t="shared" si="13"/>
        <v>14776.11</v>
      </c>
      <c r="F74" s="56">
        <f t="shared" si="14"/>
        <v>1090.17</v>
      </c>
      <c r="G74" s="35">
        <f t="shared" si="15"/>
        <v>15866.28</v>
      </c>
    </row>
    <row r="75" spans="1:7" ht="12.75">
      <c r="A75" s="173" t="s">
        <v>77</v>
      </c>
      <c r="B75" s="173"/>
      <c r="C75" s="173"/>
      <c r="D75" s="55">
        <f t="shared" si="12"/>
        <v>45094</v>
      </c>
      <c r="E75" s="33">
        <f t="shared" si="13"/>
        <v>14776.11</v>
      </c>
      <c r="F75" s="56">
        <f t="shared" si="14"/>
        <v>1090.17</v>
      </c>
      <c r="G75" s="35">
        <f t="shared" si="15"/>
        <v>15866.28</v>
      </c>
    </row>
    <row r="76" spans="1:7" ht="12.75">
      <c r="A76" s="173" t="s">
        <v>78</v>
      </c>
      <c r="B76" s="173"/>
      <c r="C76" s="173"/>
      <c r="D76" s="55">
        <f t="shared" si="12"/>
        <v>45124</v>
      </c>
      <c r="E76" s="33">
        <f t="shared" si="13"/>
        <v>14776.11</v>
      </c>
      <c r="F76" s="56">
        <f t="shared" si="14"/>
        <v>1090.17</v>
      </c>
      <c r="G76" s="35">
        <f t="shared" si="15"/>
        <v>15866.28</v>
      </c>
    </row>
    <row r="77" spans="1:7" ht="12.75">
      <c r="A77" s="173" t="s">
        <v>79</v>
      </c>
      <c r="B77" s="173"/>
      <c r="C77" s="173"/>
      <c r="D77" s="55">
        <f t="shared" si="12"/>
        <v>45155</v>
      </c>
      <c r="E77" s="33">
        <f t="shared" si="13"/>
        <v>14776.11</v>
      </c>
      <c r="F77" s="56">
        <f t="shared" si="14"/>
        <v>1090.17</v>
      </c>
      <c r="G77" s="35">
        <f t="shared" si="15"/>
        <v>15866.28</v>
      </c>
    </row>
    <row r="78" spans="1:7" ht="12.75">
      <c r="A78" s="173" t="s">
        <v>80</v>
      </c>
      <c r="B78" s="173"/>
      <c r="C78" s="173"/>
      <c r="D78" s="55">
        <f t="shared" si="12"/>
        <v>45186</v>
      </c>
      <c r="E78" s="33">
        <f t="shared" si="13"/>
        <v>14776.11</v>
      </c>
      <c r="F78" s="56">
        <f t="shared" si="14"/>
        <v>1090.17</v>
      </c>
      <c r="G78" s="35">
        <f t="shared" si="15"/>
        <v>15866.28</v>
      </c>
    </row>
    <row r="79" spans="1:7" ht="12.75">
      <c r="A79" s="173" t="s">
        <v>81</v>
      </c>
      <c r="B79" s="173"/>
      <c r="C79" s="173"/>
      <c r="D79" s="55">
        <f t="shared" si="12"/>
        <v>45216</v>
      </c>
      <c r="E79" s="33">
        <f t="shared" si="13"/>
        <v>14776.11</v>
      </c>
      <c r="F79" s="56">
        <f t="shared" si="14"/>
        <v>1090.17</v>
      </c>
      <c r="G79" s="35">
        <f t="shared" si="15"/>
        <v>15866.28</v>
      </c>
    </row>
    <row r="80" spans="1:7" ht="12.75">
      <c r="A80" s="173" t="s">
        <v>82</v>
      </c>
      <c r="B80" s="173"/>
      <c r="C80" s="173"/>
      <c r="D80" s="55">
        <f t="shared" si="12"/>
        <v>45247</v>
      </c>
      <c r="E80" s="33">
        <f t="shared" si="13"/>
        <v>14776.11</v>
      </c>
      <c r="F80" s="56">
        <f t="shared" si="14"/>
        <v>1090.17</v>
      </c>
      <c r="G80" s="35">
        <f t="shared" si="15"/>
        <v>15866.28</v>
      </c>
    </row>
    <row r="81" spans="1:7" ht="12.75">
      <c r="A81" s="173" t="s">
        <v>83</v>
      </c>
      <c r="B81" s="173"/>
      <c r="C81" s="173"/>
      <c r="D81" s="55">
        <f t="shared" si="12"/>
        <v>45277</v>
      </c>
      <c r="E81" s="33">
        <f t="shared" si="13"/>
        <v>14776.11</v>
      </c>
      <c r="F81" s="56">
        <f t="shared" si="14"/>
        <v>1090.17</v>
      </c>
      <c r="G81" s="35">
        <f t="shared" si="15"/>
        <v>15866.28</v>
      </c>
    </row>
    <row r="82" spans="1:7" ht="12.75">
      <c r="A82" s="173" t="s">
        <v>84</v>
      </c>
      <c r="B82" s="173"/>
      <c r="C82" s="173"/>
      <c r="D82" s="55">
        <f t="shared" si="12"/>
        <v>45308</v>
      </c>
      <c r="E82" s="33">
        <f t="shared" si="13"/>
        <v>14776.11</v>
      </c>
      <c r="F82" s="56">
        <f t="shared" si="14"/>
        <v>1090.17</v>
      </c>
      <c r="G82" s="35">
        <f t="shared" si="15"/>
        <v>15866.28</v>
      </c>
    </row>
    <row r="83" spans="1:7" ht="12.75">
      <c r="A83" s="173" t="s">
        <v>85</v>
      </c>
      <c r="B83" s="173"/>
      <c r="C83" s="173"/>
      <c r="D83" s="55">
        <f t="shared" si="12"/>
        <v>45339</v>
      </c>
      <c r="E83" s="33">
        <f t="shared" si="13"/>
        <v>14776.149999999965</v>
      </c>
      <c r="F83" s="56">
        <f t="shared" si="14"/>
        <v>1090.2999999999956</v>
      </c>
      <c r="G83" s="35">
        <f t="shared" si="15"/>
        <v>15866.44999999996</v>
      </c>
    </row>
    <row r="84" spans="1:7" ht="12.75">
      <c r="A84" s="150"/>
      <c r="B84" s="150"/>
      <c r="C84" s="150"/>
      <c r="D84" s="55"/>
      <c r="E84" s="33"/>
      <c r="F84" s="56"/>
      <c r="G84" s="35"/>
    </row>
    <row r="85" spans="1:6" ht="12.75">
      <c r="A85" s="39" t="s">
        <v>86</v>
      </c>
      <c r="F85" s="57"/>
    </row>
    <row r="86" spans="2:6" ht="12.75">
      <c r="B86" s="25" t="s">
        <v>87</v>
      </c>
      <c r="F86" s="57">
        <f>D78</f>
        <v>45186</v>
      </c>
    </row>
    <row r="87" spans="2:9" ht="12.75">
      <c r="B87" s="25" t="s">
        <v>88</v>
      </c>
      <c r="F87" s="57">
        <f>D83+30</f>
        <v>45369</v>
      </c>
      <c r="G87" s="58">
        <f>ROUND(((G24+G25)*((100-A33)/100))+(G29*(100-A33)/100),2)</f>
        <v>4569490</v>
      </c>
      <c r="I87" s="35"/>
    </row>
    <row r="88" ht="12.75">
      <c r="B88" s="25" t="s">
        <v>89</v>
      </c>
    </row>
    <row r="90" spans="1:6" ht="12.75">
      <c r="A90" s="45" t="s">
        <v>31</v>
      </c>
      <c r="B90" s="59"/>
      <c r="C90" s="59"/>
      <c r="D90" s="59"/>
      <c r="F90" s="60"/>
    </row>
    <row r="91" spans="1:7" ht="12.75">
      <c r="A91" s="60" t="s">
        <v>91</v>
      </c>
      <c r="B91" s="60"/>
      <c r="C91" s="60"/>
      <c r="D91" s="60"/>
      <c r="E91" s="60"/>
      <c r="G91" s="60"/>
    </row>
    <row r="92" spans="1:4" ht="12.75">
      <c r="A92" s="59" t="s">
        <v>32</v>
      </c>
      <c r="B92" s="59"/>
      <c r="C92" s="59"/>
      <c r="D92" s="59"/>
    </row>
    <row r="93" spans="1:4" ht="12.75">
      <c r="A93" s="59" t="s">
        <v>33</v>
      </c>
      <c r="B93" s="59"/>
      <c r="C93" s="59"/>
      <c r="D93" s="59"/>
    </row>
    <row r="94" spans="1:4" ht="12.75">
      <c r="A94" s="59" t="s">
        <v>34</v>
      </c>
      <c r="B94" s="59"/>
      <c r="C94" s="59"/>
      <c r="D94" s="59"/>
    </row>
    <row r="95" spans="1:4" ht="12.75">
      <c r="A95" s="60" t="s">
        <v>35</v>
      </c>
      <c r="B95" s="59"/>
      <c r="C95" s="59"/>
      <c r="D95" s="59"/>
    </row>
    <row r="96" spans="1:4" ht="12.75">
      <c r="A96" s="60" t="s">
        <v>36</v>
      </c>
      <c r="B96" s="59"/>
      <c r="C96" s="59"/>
      <c r="D96" s="59"/>
    </row>
    <row r="97" spans="1:4" ht="12.75">
      <c r="A97" s="60" t="s">
        <v>37</v>
      </c>
      <c r="B97" s="59"/>
      <c r="C97" s="59"/>
      <c r="D97" s="59"/>
    </row>
    <row r="98" spans="1:4" ht="12.75">
      <c r="A98" s="60" t="s">
        <v>38</v>
      </c>
      <c r="B98" s="59"/>
      <c r="C98" s="59"/>
      <c r="D98" s="59"/>
    </row>
    <row r="99" spans="1:6" ht="12.75">
      <c r="A99" s="60" t="s">
        <v>39</v>
      </c>
      <c r="B99" s="59"/>
      <c r="C99" s="59"/>
      <c r="D99" s="59"/>
      <c r="F99" s="60"/>
    </row>
    <row r="100" spans="1:7" ht="12.75">
      <c r="A100" s="60" t="s">
        <v>92</v>
      </c>
      <c r="B100" s="60"/>
      <c r="C100" s="60"/>
      <c r="D100" s="60"/>
      <c r="E100" s="60"/>
      <c r="G100" s="60"/>
    </row>
  </sheetData>
  <sheetProtection/>
  <mergeCells count="43">
    <mergeCell ref="A79:C79"/>
    <mergeCell ref="A80:C80"/>
    <mergeCell ref="A81:C81"/>
    <mergeCell ref="A82:C82"/>
    <mergeCell ref="A83:C83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B1:F1"/>
    <mergeCell ref="B2:F2"/>
    <mergeCell ref="A3:G3"/>
    <mergeCell ref="F6:G6"/>
    <mergeCell ref="F7:G7"/>
    <mergeCell ref="B47:C47"/>
    <mergeCell ref="D16:F16"/>
    <mergeCell ref="A48:C48"/>
    <mergeCell ref="A49:C49"/>
    <mergeCell ref="A50:C50"/>
    <mergeCell ref="A51:C51"/>
    <mergeCell ref="A63:C63"/>
    <mergeCell ref="A52:C52"/>
    <mergeCell ref="A53:C53"/>
    <mergeCell ref="A54:C54"/>
    <mergeCell ref="A55:C55"/>
    <mergeCell ref="A56:C56"/>
    <mergeCell ref="A57:C57"/>
    <mergeCell ref="A64:C64"/>
    <mergeCell ref="A58:C58"/>
    <mergeCell ref="A65:C65"/>
    <mergeCell ref="A66:C66"/>
    <mergeCell ref="A71:C71"/>
    <mergeCell ref="A72:C72"/>
    <mergeCell ref="A59:C59"/>
    <mergeCell ref="A60:C60"/>
    <mergeCell ref="A61:C61"/>
    <mergeCell ref="A62:C62"/>
  </mergeCells>
  <conditionalFormatting sqref="B11 B25">
    <cfRule type="expression" priority="2" dxfId="40" stopIfTrue="1">
      <formula>G11=0</formula>
    </cfRule>
  </conditionalFormatting>
  <conditionalFormatting sqref="A49:C56">
    <cfRule type="expression" priority="3" dxfId="40" stopIfTrue="1">
      <formula>VALUE(NoDPSchedule)&lt;VALUE(LEFT(A49,1))</formula>
    </cfRule>
  </conditionalFormatting>
  <conditionalFormatting sqref="A57:C84">
    <cfRule type="expression" priority="4" dxfId="40" stopIfTrue="1">
      <formula>VALUE(NoDPSchedule)&lt;VALUE(LEFT(A57,2))</formula>
    </cfRule>
  </conditionalFormatting>
  <conditionalFormatting sqref="G11 G25">
    <cfRule type="expression" priority="5" dxfId="40" stopIfTrue="1">
      <formula>G11=0</formula>
    </cfRule>
  </conditionalFormatting>
  <conditionalFormatting sqref="D4">
    <cfRule type="expression" priority="1" dxfId="41" stopIfTrue="1">
      <formula>G5&lt;=TODAY()</formula>
    </cfRule>
  </conditionalFormatting>
  <printOptions horizontalCentered="1"/>
  <pageMargins left="0.2362204724409449" right="0.2362204724409449" top="0.5118110236220472" bottom="0.5118110236220472" header="0.5118110236220472" footer="0.5118110236220472"/>
  <pageSetup fitToHeight="1" fitToWidth="1" horizontalDpi="300" verticalDpi="300" orientation="portrait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00"/>
  <sheetViews>
    <sheetView tabSelected="1" zoomScalePageLayoutView="0" workbookViewId="0" topLeftCell="A1">
      <selection activeCell="D15" sqref="D15"/>
    </sheetView>
  </sheetViews>
  <sheetFormatPr defaultColWidth="12.375" defaultRowHeight="12.75" customHeight="1"/>
  <cols>
    <col min="1" max="4" width="12.375" style="25" customWidth="1"/>
    <col min="5" max="5" width="14.625" style="25" customWidth="1"/>
    <col min="6" max="6" width="17.625" style="25" customWidth="1"/>
    <col min="7" max="7" width="18.00390625" style="25" customWidth="1"/>
    <col min="8" max="9" width="15.00390625" style="25" customWidth="1"/>
    <col min="10" max="10" width="14.125" style="25" customWidth="1"/>
    <col min="11" max="16384" width="12.375" style="25" customWidth="1"/>
  </cols>
  <sheetData>
    <row r="1" spans="1:7" ht="14.25" customHeight="1" thickTop="1">
      <c r="A1" s="23"/>
      <c r="B1" s="175" t="s">
        <v>1</v>
      </c>
      <c r="C1" s="175"/>
      <c r="D1" s="175"/>
      <c r="E1" s="175"/>
      <c r="F1" s="175"/>
      <c r="G1" s="24"/>
    </row>
    <row r="2" spans="1:7" ht="14.25" customHeight="1">
      <c r="A2" s="26"/>
      <c r="B2" s="176" t="s">
        <v>2</v>
      </c>
      <c r="C2" s="176"/>
      <c r="D2" s="176"/>
      <c r="E2" s="176"/>
      <c r="F2" s="176"/>
      <c r="G2" s="27"/>
    </row>
    <row r="3" spans="1:7" ht="30" customHeight="1">
      <c r="A3" s="166" t="s">
        <v>90</v>
      </c>
      <c r="B3" s="167"/>
      <c r="C3" s="167"/>
      <c r="D3" s="167"/>
      <c r="E3" s="167"/>
      <c r="F3" s="167"/>
      <c r="G3" s="168"/>
    </row>
    <row r="4" spans="1:7" ht="15" customHeight="1" thickBot="1">
      <c r="A4" s="61">
        <f>IF(A47&lt;=12,12,A47)</f>
        <v>36</v>
      </c>
      <c r="B4" s="62"/>
      <c r="C4" s="62"/>
      <c r="D4" s="63" t="str">
        <f>IF(A47&gt;G5,"TERM IS SUBJECT FOR APPROVAL","SAMPLE COMPUTATION ONLY")</f>
        <v>TERM IS SUBJECT FOR APPROVAL</v>
      </c>
      <c r="E4" s="62"/>
      <c r="F4" s="62"/>
      <c r="G4" s="64"/>
    </row>
    <row r="5" spans="1:7" ht="13.5" customHeight="1" thickTop="1">
      <c r="A5" s="65"/>
      <c r="B5" s="65"/>
      <c r="C5" s="65"/>
      <c r="D5" s="65"/>
      <c r="E5" s="65"/>
      <c r="F5" s="65"/>
      <c r="G5" s="66">
        <v>24</v>
      </c>
    </row>
    <row r="6" spans="1:7" ht="12.75">
      <c r="A6" s="67" t="s">
        <v>3</v>
      </c>
      <c r="B6" s="67" t="s">
        <v>4</v>
      </c>
      <c r="C6" s="67" t="s">
        <v>5</v>
      </c>
      <c r="D6" s="67" t="s">
        <v>6</v>
      </c>
      <c r="E6" s="67"/>
      <c r="F6" s="169" t="s">
        <v>7</v>
      </c>
      <c r="G6" s="169"/>
    </row>
    <row r="7" spans="1:7" ht="12.75">
      <c r="A7" s="68">
        <v>3</v>
      </c>
      <c r="B7" s="68">
        <v>711</v>
      </c>
      <c r="C7" s="68">
        <v>7</v>
      </c>
      <c r="D7" s="68">
        <v>23.16</v>
      </c>
      <c r="E7" s="68"/>
      <c r="F7" s="164" t="s">
        <v>8</v>
      </c>
      <c r="G7" s="164"/>
    </row>
    <row r="8" spans="1:7" ht="12.75" customHeight="1">
      <c r="A8" s="65"/>
      <c r="B8" s="65"/>
      <c r="C8" s="65"/>
      <c r="D8" s="65"/>
      <c r="E8" s="65"/>
      <c r="F8" s="65"/>
      <c r="G8" s="65"/>
    </row>
    <row r="9" spans="1:7" ht="12.75" customHeight="1">
      <c r="A9" s="65"/>
      <c r="B9" s="65"/>
      <c r="C9" s="65"/>
      <c r="D9" s="65"/>
      <c r="E9" s="65"/>
      <c r="F9" s="65"/>
      <c r="G9" s="65"/>
    </row>
    <row r="10" spans="1:7" ht="12.75">
      <c r="A10" s="69" t="s">
        <v>9</v>
      </c>
      <c r="B10" s="69"/>
      <c r="C10" s="70"/>
      <c r="D10" s="71"/>
      <c r="E10" s="71"/>
      <c r="F10" s="72" t="s">
        <v>10</v>
      </c>
      <c r="G10" s="73">
        <v>5409000</v>
      </c>
    </row>
    <row r="11" spans="1:7" ht="12.75">
      <c r="A11" s="25" t="s">
        <v>11</v>
      </c>
      <c r="B11" s="25" t="s">
        <v>12</v>
      </c>
      <c r="C11" s="31"/>
      <c r="F11" s="32"/>
      <c r="G11" s="33">
        <f>ROUND(IF(ISERROR(FIND("PARKING",Model,1)),IF(SellingPrice&gt;3199200,(G10-(G10/1.12)),0),(G10-(G10/1.12))),2)</f>
        <v>579535.71</v>
      </c>
    </row>
    <row r="12" spans="1:10" ht="12.75" hidden="1">
      <c r="A12" s="34">
        <v>5</v>
      </c>
      <c r="B12" s="25" t="str">
        <f>CONCATENATE(A12,"% Discount on ",A39,"% SFDP")</f>
        <v>5% Discount on 10% SFDP</v>
      </c>
      <c r="F12" s="32"/>
      <c r="G12" s="35">
        <v>0</v>
      </c>
      <c r="I12" s="35"/>
      <c r="J12" s="35"/>
    </row>
    <row r="13" spans="2:10" ht="12.75" hidden="1">
      <c r="B13" s="25" t="s">
        <v>13</v>
      </c>
      <c r="G13" s="35">
        <v>0</v>
      </c>
      <c r="I13" s="35"/>
      <c r="J13" s="35"/>
    </row>
    <row r="14" spans="2:10" ht="12.75" hidden="1">
      <c r="B14" s="25" t="s">
        <v>14</v>
      </c>
      <c r="G14" s="35">
        <v>0</v>
      </c>
      <c r="I14" s="35"/>
      <c r="J14" s="35"/>
    </row>
    <row r="15" spans="2:9" ht="12.75">
      <c r="B15" s="25" t="s">
        <v>16</v>
      </c>
      <c r="D15" s="116" t="s">
        <v>112</v>
      </c>
      <c r="G15" s="35">
        <v>80000</v>
      </c>
      <c r="I15" s="35"/>
    </row>
    <row r="16" spans="2:9" ht="12.75" hidden="1">
      <c r="B16" s="25" t="s">
        <v>105</v>
      </c>
      <c r="D16" s="177"/>
      <c r="E16" s="177"/>
      <c r="F16" s="177"/>
      <c r="G16" s="35"/>
      <c r="I16" s="35"/>
    </row>
    <row r="17" spans="2:9" ht="12.75" hidden="1">
      <c r="B17" s="25" t="s">
        <v>109</v>
      </c>
      <c r="G17" s="35">
        <v>0</v>
      </c>
      <c r="I17" s="35"/>
    </row>
    <row r="18" spans="2:10" ht="12.75" hidden="1">
      <c r="B18" s="25" t="s">
        <v>18</v>
      </c>
      <c r="G18" s="35">
        <v>0</v>
      </c>
      <c r="H18" s="35"/>
      <c r="I18" s="35"/>
      <c r="J18" s="35"/>
    </row>
    <row r="19" spans="2:10" ht="12.75" hidden="1">
      <c r="B19" s="25" t="s">
        <v>19</v>
      </c>
      <c r="G19" s="35">
        <v>0</v>
      </c>
      <c r="J19" s="35"/>
    </row>
    <row r="20" spans="2:10" ht="12.75" hidden="1">
      <c r="B20" s="25" t="s">
        <v>20</v>
      </c>
      <c r="G20" s="35">
        <v>0</v>
      </c>
      <c r="J20" s="35"/>
    </row>
    <row r="21" spans="2:10" ht="12.75" hidden="1">
      <c r="B21" s="25" t="s">
        <v>21</v>
      </c>
      <c r="G21" s="35">
        <v>0</v>
      </c>
      <c r="J21" s="35"/>
    </row>
    <row r="22" spans="2:10" ht="12.75" hidden="1">
      <c r="B22" s="25" t="s">
        <v>22</v>
      </c>
      <c r="G22" s="35">
        <v>0</v>
      </c>
      <c r="J22" s="35"/>
    </row>
    <row r="23" spans="6:10" ht="13.5" customHeight="1" thickBot="1">
      <c r="F23" s="32"/>
      <c r="G23" s="36"/>
      <c r="J23" s="35"/>
    </row>
    <row r="24" spans="1:7" ht="13.5" customHeight="1" thickTop="1">
      <c r="A24" s="28" t="s">
        <v>40</v>
      </c>
      <c r="B24" s="37"/>
      <c r="C24" s="29"/>
      <c r="D24" s="29"/>
      <c r="E24" s="29"/>
      <c r="F24" s="30" t="s">
        <v>10</v>
      </c>
      <c r="G24" s="38">
        <f>(SellingPrice-G11)-SUM(G12:G22)</f>
        <v>4749464.29</v>
      </c>
    </row>
    <row r="25" spans="1:9" ht="12.75">
      <c r="A25" s="25" t="s">
        <v>24</v>
      </c>
      <c r="B25" s="25" t="s">
        <v>12</v>
      </c>
      <c r="G25" s="35">
        <f>ROUND(IF(ISERROR(FIND("PARKING",Model,1)),IF(G24&gt;3199200,G24*12%,0),G24*12%),2)</f>
        <v>569935.71</v>
      </c>
      <c r="I25" s="35"/>
    </row>
    <row r="26" spans="1:7" ht="12.75" hidden="1">
      <c r="A26" s="34">
        <v>7</v>
      </c>
      <c r="B26" s="25" t="s">
        <v>25</v>
      </c>
      <c r="G26" s="35">
        <f>ROUND(G24*(A26/100),2)</f>
        <v>332462.5</v>
      </c>
    </row>
    <row r="27" spans="1:7" ht="12.75" hidden="1">
      <c r="A27" s="34"/>
      <c r="B27" s="25" t="s">
        <v>26</v>
      </c>
      <c r="F27" s="34">
        <f>IF(G27&gt;50000,50000,G27)</f>
        <v>0</v>
      </c>
      <c r="G27" s="35">
        <v>0</v>
      </c>
    </row>
    <row r="28" spans="1:7" ht="12.75" hidden="1">
      <c r="A28" s="34"/>
      <c r="B28" s="25" t="s">
        <v>27</v>
      </c>
      <c r="G28" s="35">
        <v>0</v>
      </c>
    </row>
    <row r="29" spans="1:7" ht="13.5" customHeight="1" thickBot="1">
      <c r="A29" s="34"/>
      <c r="B29" s="25" t="s">
        <v>25</v>
      </c>
      <c r="G29" s="35">
        <f>ROUND(SUM(G26,G28,F27),2)+60000</f>
        <v>392462.5</v>
      </c>
    </row>
    <row r="30" spans="1:7" ht="13.5" customHeight="1" thickTop="1">
      <c r="A30" s="28" t="s">
        <v>28</v>
      </c>
      <c r="B30" s="29"/>
      <c r="C30" s="29"/>
      <c r="D30" s="29"/>
      <c r="E30" s="29"/>
      <c r="F30" s="30" t="s">
        <v>10</v>
      </c>
      <c r="G30" s="38">
        <f>G24+SUM(G25,G29)</f>
        <v>5711862.5</v>
      </c>
    </row>
    <row r="32" ht="12.75">
      <c r="A32" s="39" t="s">
        <v>41</v>
      </c>
    </row>
    <row r="33" spans="1:7" ht="12.75">
      <c r="A33" s="40">
        <v>15</v>
      </c>
      <c r="B33" s="25" t="str">
        <f>CONCATENATE("Downpayment ("&amp;A33&amp;"% of Selling Price)")</f>
        <v>Downpayment (15% of Selling Price)</v>
      </c>
      <c r="G33" s="35">
        <f>ROUND((G24+G25)*(A33/100),2)</f>
        <v>797910</v>
      </c>
    </row>
    <row r="34" spans="1:7" ht="13.5" customHeight="1" thickBot="1">
      <c r="A34" s="39"/>
      <c r="B34" s="25" t="s">
        <v>42</v>
      </c>
      <c r="G34" s="35">
        <f>ROUND(G29*(A33/100),2)</f>
        <v>58869.38</v>
      </c>
    </row>
    <row r="35" spans="1:7" ht="13.5" customHeight="1" thickTop="1">
      <c r="A35" s="28" t="s">
        <v>43</v>
      </c>
      <c r="B35" s="29"/>
      <c r="C35" s="29"/>
      <c r="D35" s="29"/>
      <c r="E35" s="29"/>
      <c r="F35" s="30" t="s">
        <v>10</v>
      </c>
      <c r="G35" s="38">
        <f>SUM(G33:G34)</f>
        <v>856779.38</v>
      </c>
    </row>
    <row r="36" spans="1:7" ht="13.5" customHeight="1" thickBot="1">
      <c r="A36" s="25" t="s">
        <v>11</v>
      </c>
      <c r="B36" s="25" t="s">
        <v>29</v>
      </c>
      <c r="F36" s="41">
        <f ca="1">NOW()</f>
        <v>44211.77902361111</v>
      </c>
      <c r="G36" s="35">
        <v>20000</v>
      </c>
    </row>
    <row r="37" spans="1:7" ht="13.5" customHeight="1" thickTop="1">
      <c r="A37" s="28" t="s">
        <v>44</v>
      </c>
      <c r="B37" s="29"/>
      <c r="C37" s="29"/>
      <c r="D37" s="29"/>
      <c r="E37" s="42"/>
      <c r="F37" s="30" t="s">
        <v>10</v>
      </c>
      <c r="G37" s="38">
        <f>G35-G36</f>
        <v>836779.38</v>
      </c>
    </row>
    <row r="39" spans="1:10" ht="12.75">
      <c r="A39" s="34">
        <v>10</v>
      </c>
      <c r="B39" s="25" t="str">
        <f>CONCATENATE("Spot Downpayment ("&amp;A39&amp;"% of Selling Price)")</f>
        <v>Spot Downpayment (10% of Selling Price)</v>
      </c>
      <c r="E39" s="43"/>
      <c r="F39" s="41"/>
      <c r="G39" s="35">
        <f>ROUND((SUM(G24:G25)*(A39/100))-G36,2)</f>
        <v>511940</v>
      </c>
      <c r="H39" s="35"/>
      <c r="I39" s="35"/>
      <c r="J39" s="44"/>
    </row>
    <row r="40" spans="2:10" ht="13.5" customHeight="1" thickBot="1">
      <c r="B40" s="25" t="s">
        <v>25</v>
      </c>
      <c r="E40" s="43"/>
      <c r="F40" s="41"/>
      <c r="G40" s="35">
        <f>ROUND(G29*(A39/100),2)</f>
        <v>39246.25</v>
      </c>
      <c r="J40" s="35"/>
    </row>
    <row r="41" spans="2:7" ht="13.5" customHeight="1" thickTop="1">
      <c r="B41" s="45" t="s">
        <v>45</v>
      </c>
      <c r="E41" s="43"/>
      <c r="F41" s="149">
        <f>ReservationDate+19</f>
        <v>44230.77902361111</v>
      </c>
      <c r="G41" s="46">
        <f>SUM(G39:G40)</f>
        <v>551186.25</v>
      </c>
    </row>
    <row r="42" spans="2:7" ht="12.75">
      <c r="B42" s="47"/>
      <c r="E42" s="43"/>
      <c r="F42" s="41"/>
      <c r="G42" s="48"/>
    </row>
    <row r="43" spans="1:7" ht="12.75">
      <c r="A43" s="34">
        <f>A33-A39</f>
        <v>5</v>
      </c>
      <c r="B43" s="49" t="str">
        <f>CONCATENATE("Streched Downpayment ("&amp;A43&amp;"% of Selling Price)")</f>
        <v>Streched Downpayment (5% of Selling Price)</v>
      </c>
      <c r="E43" s="43"/>
      <c r="F43" s="41"/>
      <c r="G43" s="35">
        <f>G33-G39-ReservationFee</f>
        <v>265970</v>
      </c>
    </row>
    <row r="44" spans="2:7" ht="13.5" customHeight="1" thickBot="1">
      <c r="B44" s="49" t="s">
        <v>25</v>
      </c>
      <c r="E44" s="43"/>
      <c r="F44" s="41"/>
      <c r="G44" s="35">
        <f>SUM(G34:G34)-G40</f>
        <v>19623.129999999997</v>
      </c>
    </row>
    <row r="45" spans="2:7" ht="13.5" customHeight="1" thickTop="1">
      <c r="B45" s="45" t="str">
        <f>CONCATENATE("Total Streched DP and Other Charges payable in "&amp;A47&amp;" months")</f>
        <v>Total Streched DP and Other Charges payable in 36 months</v>
      </c>
      <c r="E45" s="43"/>
      <c r="F45" s="41"/>
      <c r="G45" s="46">
        <f>SUM(G43:G44)</f>
        <v>285593.13</v>
      </c>
    </row>
    <row r="46" spans="2:7" ht="12.75">
      <c r="B46" s="49"/>
      <c r="E46" s="43"/>
      <c r="F46" s="41"/>
      <c r="G46" s="48"/>
    </row>
    <row r="47" spans="1:7" ht="25.5" customHeight="1">
      <c r="A47" s="50">
        <v>36</v>
      </c>
      <c r="B47" s="174" t="s">
        <v>46</v>
      </c>
      <c r="C47" s="174"/>
      <c r="D47" s="51" t="s">
        <v>47</v>
      </c>
      <c r="E47" s="52" t="s">
        <v>48</v>
      </c>
      <c r="F47" s="53" t="s">
        <v>25</v>
      </c>
      <c r="G47" s="54" t="s">
        <v>49</v>
      </c>
    </row>
    <row r="48" spans="1:7" ht="12.75">
      <c r="A48" s="173" t="s">
        <v>50</v>
      </c>
      <c r="B48" s="173"/>
      <c r="C48" s="173"/>
      <c r="D48" s="55">
        <f>IF(AND(DAY(F41)&gt;2,DAY(F41)&lt;19),DATE(YEAR(F41+30),MONTH(F41+30),DAY(17)),DATE(YEAR(F41+30),IF(DAY(F41)&gt;18,MONTH(F41+30)+1,MONTH(F41+30)),DAY(2)))</f>
        <v>44272</v>
      </c>
      <c r="E48" s="33">
        <f>ROUND(G43/A47,2)</f>
        <v>7388.06</v>
      </c>
      <c r="F48" s="56">
        <f>ROUND(G44/A47,2)</f>
        <v>545.09</v>
      </c>
      <c r="G48" s="35">
        <f>SUM(E48:F48)</f>
        <v>7933.150000000001</v>
      </c>
    </row>
    <row r="49" spans="1:7" ht="12.75">
      <c r="A49" s="173" t="s">
        <v>51</v>
      </c>
      <c r="B49" s="173"/>
      <c r="C49" s="173"/>
      <c r="D49" s="55">
        <f>IF($A$47&lt;VALUE(LEFT(A49,1))," ",DATE(YEAR(D48+30),MONTH(D48+30),DAY(D48)))</f>
        <v>44303</v>
      </c>
      <c r="E49" s="33">
        <f>IF($A$47&lt;VALUE(LEFT(A49,1))," ",IF($A$47=VALUE(LEFT(A49,1)),$G$43-($E$48*($A$47-1)),E48))</f>
        <v>7388.06</v>
      </c>
      <c r="F49" s="56">
        <f>IF($A$47&lt;VALUE(LEFT(A49,1))," ",IF($A$47=VALUE(LEFT(A49,1)),$G$44-($F$48*($A$47-1)),F48))</f>
        <v>545.09</v>
      </c>
      <c r="G49" s="35">
        <f>IF($A$47&lt;VALUE(LEFT(A49,1))," ",SUM(E49:F49))</f>
        <v>7933.150000000001</v>
      </c>
    </row>
    <row r="50" spans="1:7" ht="12.75">
      <c r="A50" s="173" t="s">
        <v>52</v>
      </c>
      <c r="B50" s="173"/>
      <c r="C50" s="173"/>
      <c r="D50" s="55">
        <f>IF($A$47&lt;VALUE(LEFT(A50,1))," ",DATE(YEAR(D49+30),MONTH(D49+30),DAY(D49)))</f>
        <v>44333</v>
      </c>
      <c r="E50" s="33">
        <f aca="true" t="shared" si="0" ref="E50:E56">IF($A$47&lt;VALUE(LEFT(A50,1))," ",IF($A$47=VALUE(LEFT(A50,1)),$G$43-($E$48*($A$47-1)),E49))</f>
        <v>7388.06</v>
      </c>
      <c r="F50" s="56">
        <f aca="true" t="shared" si="1" ref="F50:F56">IF($A$47&lt;VALUE(LEFT(A50,1))," ",IF($A$47=VALUE(LEFT(A50,1)),$G$44-($F$48*($A$47-1)),F49))</f>
        <v>545.09</v>
      </c>
      <c r="G50" s="35">
        <f aca="true" t="shared" si="2" ref="G50:G56">IF($A$47&lt;VALUE(LEFT(A50,1))," ",SUM(E50:F50))</f>
        <v>7933.150000000001</v>
      </c>
    </row>
    <row r="51" spans="1:7" ht="12.75">
      <c r="A51" s="173" t="s">
        <v>53</v>
      </c>
      <c r="B51" s="173"/>
      <c r="C51" s="173"/>
      <c r="D51" s="55">
        <f aca="true" t="shared" si="3" ref="D51:D56">IF($A$47&lt;VALUE(LEFT(A51,1))," ",DATE(YEAR(D50+30),MONTH(D50+30),DAY(D50)))</f>
        <v>44364</v>
      </c>
      <c r="E51" s="33">
        <f t="shared" si="0"/>
        <v>7388.06</v>
      </c>
      <c r="F51" s="56">
        <f t="shared" si="1"/>
        <v>545.09</v>
      </c>
      <c r="G51" s="35">
        <f t="shared" si="2"/>
        <v>7933.150000000001</v>
      </c>
    </row>
    <row r="52" spans="1:7" ht="12.75">
      <c r="A52" s="173" t="s">
        <v>54</v>
      </c>
      <c r="B52" s="173"/>
      <c r="C52" s="173"/>
      <c r="D52" s="55">
        <f t="shared" si="3"/>
        <v>44394</v>
      </c>
      <c r="E52" s="33">
        <f t="shared" si="0"/>
        <v>7388.06</v>
      </c>
      <c r="F52" s="56">
        <f t="shared" si="1"/>
        <v>545.09</v>
      </c>
      <c r="G52" s="35">
        <f t="shared" si="2"/>
        <v>7933.150000000001</v>
      </c>
    </row>
    <row r="53" spans="1:7" ht="12.75">
      <c r="A53" s="173" t="s">
        <v>55</v>
      </c>
      <c r="B53" s="173"/>
      <c r="C53" s="173"/>
      <c r="D53" s="55">
        <f t="shared" si="3"/>
        <v>44425</v>
      </c>
      <c r="E53" s="33">
        <f t="shared" si="0"/>
        <v>7388.06</v>
      </c>
      <c r="F53" s="56">
        <f t="shared" si="1"/>
        <v>545.09</v>
      </c>
      <c r="G53" s="35">
        <f t="shared" si="2"/>
        <v>7933.150000000001</v>
      </c>
    </row>
    <row r="54" spans="1:7" ht="12.75">
      <c r="A54" s="173" t="s">
        <v>56</v>
      </c>
      <c r="B54" s="173"/>
      <c r="C54" s="173"/>
      <c r="D54" s="55">
        <f t="shared" si="3"/>
        <v>44456</v>
      </c>
      <c r="E54" s="33">
        <f t="shared" si="0"/>
        <v>7388.06</v>
      </c>
      <c r="F54" s="56">
        <f t="shared" si="1"/>
        <v>545.09</v>
      </c>
      <c r="G54" s="35">
        <f t="shared" si="2"/>
        <v>7933.150000000001</v>
      </c>
    </row>
    <row r="55" spans="1:7" ht="12.75">
      <c r="A55" s="173" t="s">
        <v>57</v>
      </c>
      <c r="B55" s="173"/>
      <c r="C55" s="173"/>
      <c r="D55" s="55">
        <f t="shared" si="3"/>
        <v>44486</v>
      </c>
      <c r="E55" s="33">
        <f t="shared" si="0"/>
        <v>7388.06</v>
      </c>
      <c r="F55" s="56">
        <f t="shared" si="1"/>
        <v>545.09</v>
      </c>
      <c r="G55" s="35">
        <f t="shared" si="2"/>
        <v>7933.150000000001</v>
      </c>
    </row>
    <row r="56" spans="1:7" ht="12.75">
      <c r="A56" s="173" t="s">
        <v>58</v>
      </c>
      <c r="B56" s="173"/>
      <c r="C56" s="173"/>
      <c r="D56" s="55">
        <f t="shared" si="3"/>
        <v>44517</v>
      </c>
      <c r="E56" s="33">
        <f t="shared" si="0"/>
        <v>7388.06</v>
      </c>
      <c r="F56" s="56">
        <f t="shared" si="1"/>
        <v>545.09</v>
      </c>
      <c r="G56" s="35">
        <f t="shared" si="2"/>
        <v>7933.150000000001</v>
      </c>
    </row>
    <row r="57" spans="1:7" ht="12.75">
      <c r="A57" s="173" t="s">
        <v>59</v>
      </c>
      <c r="B57" s="173"/>
      <c r="C57" s="173"/>
      <c r="D57" s="55">
        <f>IF($A$47&lt;VALUE(LEFT(A57,2))," ",DATE(YEAR(D56+30),MONTH(D56+30),DAY(D56)))</f>
        <v>44547</v>
      </c>
      <c r="E57" s="33">
        <f>IF($A$47&lt;VALUE(LEFT(A57,2))," ",IF($A$47=VALUE(LEFT(A57,2)),$G$43-($E$48*($A$47-1)),E56))</f>
        <v>7388.06</v>
      </c>
      <c r="F57" s="56">
        <f>IF($A$47&lt;VALUE(LEFT(A57,2))," ",IF($A$47=VALUE(LEFT(A57,2)),$G$44-($F$48*($A$47-1)),F56))</f>
        <v>545.09</v>
      </c>
      <c r="G57" s="35">
        <f>IF($A$47&lt;VALUE(LEFT(A57,2))," ",SUM(E57:F57))</f>
        <v>7933.150000000001</v>
      </c>
    </row>
    <row r="58" spans="1:7" ht="12.75">
      <c r="A58" s="173" t="s">
        <v>60</v>
      </c>
      <c r="B58" s="173"/>
      <c r="C58" s="173"/>
      <c r="D58" s="55">
        <f aca="true" t="shared" si="4" ref="D58:D83">IF($A$47&lt;VALUE(LEFT(A58,2))," ",DATE(YEAR(D57+30),MONTH(D57+30),DAY(D57)))</f>
        <v>44578</v>
      </c>
      <c r="E58" s="33">
        <f aca="true" t="shared" si="5" ref="E58:E83">IF($A$47&lt;VALUE(LEFT(A58,2))," ",IF($A$47=VALUE(LEFT(A58,2)),$G$43-($E$48*($A$47-1)),E57))</f>
        <v>7388.06</v>
      </c>
      <c r="F58" s="56">
        <f aca="true" t="shared" si="6" ref="F58:F83">IF($A$47&lt;VALUE(LEFT(A58,2))," ",IF($A$47=VALUE(LEFT(A58,2)),$G$44-($F$48*($A$47-1)),F57))</f>
        <v>545.09</v>
      </c>
      <c r="G58" s="35">
        <f aca="true" t="shared" si="7" ref="G58:G83">IF($A$47&lt;VALUE(LEFT(A58,2))," ",SUM(E58:F58))</f>
        <v>7933.150000000001</v>
      </c>
    </row>
    <row r="59" spans="1:7" ht="12.75">
      <c r="A59" s="173" t="s">
        <v>61</v>
      </c>
      <c r="B59" s="173"/>
      <c r="C59" s="173"/>
      <c r="D59" s="55">
        <f t="shared" si="4"/>
        <v>44609</v>
      </c>
      <c r="E59" s="33">
        <f t="shared" si="5"/>
        <v>7388.06</v>
      </c>
      <c r="F59" s="56">
        <f t="shared" si="6"/>
        <v>545.09</v>
      </c>
      <c r="G59" s="35">
        <f t="shared" si="7"/>
        <v>7933.150000000001</v>
      </c>
    </row>
    <row r="60" spans="1:7" ht="12.75">
      <c r="A60" s="173" t="s">
        <v>62</v>
      </c>
      <c r="B60" s="173"/>
      <c r="C60" s="173"/>
      <c r="D60" s="55">
        <f t="shared" si="4"/>
        <v>44637</v>
      </c>
      <c r="E60" s="33">
        <f t="shared" si="5"/>
        <v>7388.06</v>
      </c>
      <c r="F60" s="56">
        <f t="shared" si="6"/>
        <v>545.09</v>
      </c>
      <c r="G60" s="35">
        <f t="shared" si="7"/>
        <v>7933.150000000001</v>
      </c>
    </row>
    <row r="61" spans="1:7" ht="12.75">
      <c r="A61" s="173" t="s">
        <v>63</v>
      </c>
      <c r="B61" s="173"/>
      <c r="C61" s="173"/>
      <c r="D61" s="55">
        <f t="shared" si="4"/>
        <v>44668</v>
      </c>
      <c r="E61" s="33">
        <f t="shared" si="5"/>
        <v>7388.06</v>
      </c>
      <c r="F61" s="56">
        <f t="shared" si="6"/>
        <v>545.09</v>
      </c>
      <c r="G61" s="35">
        <f t="shared" si="7"/>
        <v>7933.150000000001</v>
      </c>
    </row>
    <row r="62" spans="1:7" ht="12.75">
      <c r="A62" s="173" t="s">
        <v>64</v>
      </c>
      <c r="B62" s="173"/>
      <c r="C62" s="173"/>
      <c r="D62" s="55">
        <f t="shared" si="4"/>
        <v>44698</v>
      </c>
      <c r="E62" s="33">
        <f t="shared" si="5"/>
        <v>7388.06</v>
      </c>
      <c r="F62" s="56">
        <f t="shared" si="6"/>
        <v>545.09</v>
      </c>
      <c r="G62" s="35">
        <f t="shared" si="7"/>
        <v>7933.150000000001</v>
      </c>
    </row>
    <row r="63" spans="1:7" ht="12.75">
      <c r="A63" s="173" t="s">
        <v>65</v>
      </c>
      <c r="B63" s="173"/>
      <c r="C63" s="173"/>
      <c r="D63" s="55">
        <f t="shared" si="4"/>
        <v>44729</v>
      </c>
      <c r="E63" s="33">
        <f t="shared" si="5"/>
        <v>7388.06</v>
      </c>
      <c r="F63" s="56">
        <f t="shared" si="6"/>
        <v>545.09</v>
      </c>
      <c r="G63" s="35">
        <f t="shared" si="7"/>
        <v>7933.150000000001</v>
      </c>
    </row>
    <row r="64" spans="1:7" ht="12.75">
      <c r="A64" s="173" t="s">
        <v>66</v>
      </c>
      <c r="B64" s="173"/>
      <c r="C64" s="173"/>
      <c r="D64" s="55">
        <f t="shared" si="4"/>
        <v>44759</v>
      </c>
      <c r="E64" s="33">
        <f t="shared" si="5"/>
        <v>7388.06</v>
      </c>
      <c r="F64" s="56">
        <f t="shared" si="6"/>
        <v>545.09</v>
      </c>
      <c r="G64" s="35">
        <f t="shared" si="7"/>
        <v>7933.150000000001</v>
      </c>
    </row>
    <row r="65" spans="1:7" ht="12.75">
      <c r="A65" s="173" t="s">
        <v>67</v>
      </c>
      <c r="B65" s="173"/>
      <c r="C65" s="173"/>
      <c r="D65" s="55">
        <f t="shared" si="4"/>
        <v>44790</v>
      </c>
      <c r="E65" s="33">
        <f t="shared" si="5"/>
        <v>7388.06</v>
      </c>
      <c r="F65" s="56">
        <f t="shared" si="6"/>
        <v>545.09</v>
      </c>
      <c r="G65" s="35">
        <f t="shared" si="7"/>
        <v>7933.150000000001</v>
      </c>
    </row>
    <row r="66" spans="1:7" ht="12.75">
      <c r="A66" s="173" t="s">
        <v>68</v>
      </c>
      <c r="B66" s="173"/>
      <c r="C66" s="173"/>
      <c r="D66" s="55">
        <f t="shared" si="4"/>
        <v>44821</v>
      </c>
      <c r="E66" s="33">
        <f t="shared" si="5"/>
        <v>7388.06</v>
      </c>
      <c r="F66" s="56">
        <f t="shared" si="6"/>
        <v>545.09</v>
      </c>
      <c r="G66" s="35">
        <f t="shared" si="7"/>
        <v>7933.150000000001</v>
      </c>
    </row>
    <row r="67" spans="1:7" ht="12.75">
      <c r="A67" s="173" t="s">
        <v>69</v>
      </c>
      <c r="B67" s="173"/>
      <c r="C67" s="173"/>
      <c r="D67" s="55">
        <f t="shared" si="4"/>
        <v>44851</v>
      </c>
      <c r="E67" s="33">
        <f t="shared" si="5"/>
        <v>7388.06</v>
      </c>
      <c r="F67" s="56">
        <f t="shared" si="6"/>
        <v>545.09</v>
      </c>
      <c r="G67" s="35">
        <f t="shared" si="7"/>
        <v>7933.150000000001</v>
      </c>
    </row>
    <row r="68" spans="1:7" ht="12.75">
      <c r="A68" s="173" t="s">
        <v>70</v>
      </c>
      <c r="B68" s="173"/>
      <c r="C68" s="173"/>
      <c r="D68" s="55">
        <f t="shared" si="4"/>
        <v>44882</v>
      </c>
      <c r="E68" s="33">
        <f t="shared" si="5"/>
        <v>7388.06</v>
      </c>
      <c r="F68" s="56">
        <f t="shared" si="6"/>
        <v>545.09</v>
      </c>
      <c r="G68" s="35">
        <f t="shared" si="7"/>
        <v>7933.150000000001</v>
      </c>
    </row>
    <row r="69" spans="1:7" ht="12.75">
      <c r="A69" s="173" t="s">
        <v>71</v>
      </c>
      <c r="B69" s="173"/>
      <c r="C69" s="173"/>
      <c r="D69" s="55">
        <f t="shared" si="4"/>
        <v>44912</v>
      </c>
      <c r="E69" s="33">
        <f t="shared" si="5"/>
        <v>7388.06</v>
      </c>
      <c r="F69" s="56">
        <f t="shared" si="6"/>
        <v>545.09</v>
      </c>
      <c r="G69" s="35">
        <f t="shared" si="7"/>
        <v>7933.150000000001</v>
      </c>
    </row>
    <row r="70" spans="1:7" ht="12.75">
      <c r="A70" s="173" t="s">
        <v>72</v>
      </c>
      <c r="B70" s="173"/>
      <c r="C70" s="173"/>
      <c r="D70" s="55">
        <f t="shared" si="4"/>
        <v>44943</v>
      </c>
      <c r="E70" s="33">
        <f t="shared" si="5"/>
        <v>7388.06</v>
      </c>
      <c r="F70" s="56">
        <f t="shared" si="6"/>
        <v>545.09</v>
      </c>
      <c r="G70" s="35">
        <f t="shared" si="7"/>
        <v>7933.150000000001</v>
      </c>
    </row>
    <row r="71" spans="1:7" ht="12.75">
      <c r="A71" s="173" t="s">
        <v>73</v>
      </c>
      <c r="B71" s="173"/>
      <c r="C71" s="173"/>
      <c r="D71" s="55">
        <f t="shared" si="4"/>
        <v>44974</v>
      </c>
      <c r="E71" s="33">
        <f t="shared" si="5"/>
        <v>7388.06</v>
      </c>
      <c r="F71" s="56">
        <f t="shared" si="6"/>
        <v>545.09</v>
      </c>
      <c r="G71" s="35">
        <f t="shared" si="7"/>
        <v>7933.150000000001</v>
      </c>
    </row>
    <row r="72" spans="1:7" ht="12.75">
      <c r="A72" s="173" t="s">
        <v>74</v>
      </c>
      <c r="B72" s="173"/>
      <c r="C72" s="173"/>
      <c r="D72" s="55">
        <f t="shared" si="4"/>
        <v>45002</v>
      </c>
      <c r="E72" s="33">
        <f t="shared" si="5"/>
        <v>7388.06</v>
      </c>
      <c r="F72" s="56">
        <f t="shared" si="6"/>
        <v>545.09</v>
      </c>
      <c r="G72" s="35">
        <f t="shared" si="7"/>
        <v>7933.150000000001</v>
      </c>
    </row>
    <row r="73" spans="1:7" ht="12.75">
      <c r="A73" s="173" t="s">
        <v>75</v>
      </c>
      <c r="B73" s="173"/>
      <c r="C73" s="173"/>
      <c r="D73" s="55">
        <f t="shared" si="4"/>
        <v>45033</v>
      </c>
      <c r="E73" s="33">
        <f t="shared" si="5"/>
        <v>7388.06</v>
      </c>
      <c r="F73" s="56">
        <f t="shared" si="6"/>
        <v>545.09</v>
      </c>
      <c r="G73" s="35">
        <f t="shared" si="7"/>
        <v>7933.150000000001</v>
      </c>
    </row>
    <row r="74" spans="1:7" ht="12.75">
      <c r="A74" s="173" t="s">
        <v>76</v>
      </c>
      <c r="B74" s="173"/>
      <c r="C74" s="173"/>
      <c r="D74" s="55">
        <f t="shared" si="4"/>
        <v>45063</v>
      </c>
      <c r="E74" s="33">
        <f t="shared" si="5"/>
        <v>7388.06</v>
      </c>
      <c r="F74" s="56">
        <f t="shared" si="6"/>
        <v>545.09</v>
      </c>
      <c r="G74" s="35">
        <f t="shared" si="7"/>
        <v>7933.150000000001</v>
      </c>
    </row>
    <row r="75" spans="1:7" ht="12.75">
      <c r="A75" s="173" t="s">
        <v>77</v>
      </c>
      <c r="B75" s="173"/>
      <c r="C75" s="173"/>
      <c r="D75" s="55">
        <f t="shared" si="4"/>
        <v>45094</v>
      </c>
      <c r="E75" s="33">
        <f t="shared" si="5"/>
        <v>7388.06</v>
      </c>
      <c r="F75" s="56">
        <f t="shared" si="6"/>
        <v>545.09</v>
      </c>
      <c r="G75" s="35">
        <f t="shared" si="7"/>
        <v>7933.150000000001</v>
      </c>
    </row>
    <row r="76" spans="1:7" ht="12.75">
      <c r="A76" s="173" t="s">
        <v>78</v>
      </c>
      <c r="B76" s="173"/>
      <c r="C76" s="173"/>
      <c r="D76" s="55">
        <f t="shared" si="4"/>
        <v>45124</v>
      </c>
      <c r="E76" s="33">
        <f t="shared" si="5"/>
        <v>7388.06</v>
      </c>
      <c r="F76" s="56">
        <f t="shared" si="6"/>
        <v>545.09</v>
      </c>
      <c r="G76" s="35">
        <f t="shared" si="7"/>
        <v>7933.150000000001</v>
      </c>
    </row>
    <row r="77" spans="1:7" ht="12.75">
      <c r="A77" s="173" t="s">
        <v>79</v>
      </c>
      <c r="B77" s="173"/>
      <c r="C77" s="173"/>
      <c r="D77" s="55">
        <f t="shared" si="4"/>
        <v>45155</v>
      </c>
      <c r="E77" s="33">
        <f t="shared" si="5"/>
        <v>7388.06</v>
      </c>
      <c r="F77" s="56">
        <f t="shared" si="6"/>
        <v>545.09</v>
      </c>
      <c r="G77" s="35">
        <f t="shared" si="7"/>
        <v>7933.150000000001</v>
      </c>
    </row>
    <row r="78" spans="1:7" ht="12.75">
      <c r="A78" s="173" t="s">
        <v>80</v>
      </c>
      <c r="B78" s="173"/>
      <c r="C78" s="173"/>
      <c r="D78" s="55">
        <f t="shared" si="4"/>
        <v>45186</v>
      </c>
      <c r="E78" s="33">
        <f t="shared" si="5"/>
        <v>7388.06</v>
      </c>
      <c r="F78" s="56">
        <f t="shared" si="6"/>
        <v>545.09</v>
      </c>
      <c r="G78" s="35">
        <f t="shared" si="7"/>
        <v>7933.150000000001</v>
      </c>
    </row>
    <row r="79" spans="1:7" ht="12.75">
      <c r="A79" s="173" t="s">
        <v>81</v>
      </c>
      <c r="B79" s="173"/>
      <c r="C79" s="173"/>
      <c r="D79" s="55">
        <f t="shared" si="4"/>
        <v>45216</v>
      </c>
      <c r="E79" s="33">
        <f t="shared" si="5"/>
        <v>7388.06</v>
      </c>
      <c r="F79" s="56">
        <f t="shared" si="6"/>
        <v>545.09</v>
      </c>
      <c r="G79" s="35">
        <f t="shared" si="7"/>
        <v>7933.150000000001</v>
      </c>
    </row>
    <row r="80" spans="1:7" ht="12.75">
      <c r="A80" s="173" t="s">
        <v>82</v>
      </c>
      <c r="B80" s="173"/>
      <c r="C80" s="173"/>
      <c r="D80" s="55">
        <f t="shared" si="4"/>
        <v>45247</v>
      </c>
      <c r="E80" s="33">
        <f t="shared" si="5"/>
        <v>7388.06</v>
      </c>
      <c r="F80" s="56">
        <f t="shared" si="6"/>
        <v>545.09</v>
      </c>
      <c r="G80" s="35">
        <f t="shared" si="7"/>
        <v>7933.150000000001</v>
      </c>
    </row>
    <row r="81" spans="1:7" ht="12.75">
      <c r="A81" s="173" t="s">
        <v>83</v>
      </c>
      <c r="B81" s="173"/>
      <c r="C81" s="173"/>
      <c r="D81" s="55">
        <f t="shared" si="4"/>
        <v>45277</v>
      </c>
      <c r="E81" s="33">
        <f t="shared" si="5"/>
        <v>7388.06</v>
      </c>
      <c r="F81" s="56">
        <f t="shared" si="6"/>
        <v>545.09</v>
      </c>
      <c r="G81" s="35">
        <f t="shared" si="7"/>
        <v>7933.150000000001</v>
      </c>
    </row>
    <row r="82" spans="1:7" ht="12.75">
      <c r="A82" s="173" t="s">
        <v>84</v>
      </c>
      <c r="B82" s="173"/>
      <c r="C82" s="173"/>
      <c r="D82" s="55">
        <f t="shared" si="4"/>
        <v>45308</v>
      </c>
      <c r="E82" s="33">
        <f t="shared" si="5"/>
        <v>7388.06</v>
      </c>
      <c r="F82" s="56">
        <f t="shared" si="6"/>
        <v>545.09</v>
      </c>
      <c r="G82" s="35">
        <f t="shared" si="7"/>
        <v>7933.150000000001</v>
      </c>
    </row>
    <row r="83" spans="1:7" ht="12.75">
      <c r="A83" s="173" t="s">
        <v>85</v>
      </c>
      <c r="B83" s="173"/>
      <c r="C83" s="173"/>
      <c r="D83" s="55">
        <f t="shared" si="4"/>
        <v>45339</v>
      </c>
      <c r="E83" s="33">
        <f t="shared" si="5"/>
        <v>7387.899999999994</v>
      </c>
      <c r="F83" s="56">
        <f t="shared" si="6"/>
        <v>544.9799999999959</v>
      </c>
      <c r="G83" s="35">
        <f t="shared" si="7"/>
        <v>7932.87999999999</v>
      </c>
    </row>
    <row r="84" spans="1:7" ht="12.75">
      <c r="A84" s="150"/>
      <c r="B84" s="150"/>
      <c r="C84" s="150"/>
      <c r="D84" s="55"/>
      <c r="E84" s="33"/>
      <c r="F84" s="56"/>
      <c r="G84" s="35"/>
    </row>
    <row r="85" spans="1:6" ht="12.75">
      <c r="A85" s="39" t="s">
        <v>86</v>
      </c>
      <c r="F85" s="57"/>
    </row>
    <row r="86" spans="2:6" ht="12.75">
      <c r="B86" s="25" t="s">
        <v>87</v>
      </c>
      <c r="F86" s="57">
        <f>D78</f>
        <v>45186</v>
      </c>
    </row>
    <row r="87" spans="2:9" ht="12.75">
      <c r="B87" s="25" t="s">
        <v>88</v>
      </c>
      <c r="F87" s="57">
        <f>D83+30</f>
        <v>45369</v>
      </c>
      <c r="G87" s="58">
        <f>ROUND(((G24+G25)*((100-A33)/100))+(G29*(100-A33)/100),2)</f>
        <v>4855083.13</v>
      </c>
      <c r="I87" s="35"/>
    </row>
    <row r="88" ht="12.75">
      <c r="B88" s="25" t="s">
        <v>89</v>
      </c>
    </row>
    <row r="90" spans="1:6" ht="12.75">
      <c r="A90" s="45" t="s">
        <v>31</v>
      </c>
      <c r="B90" s="59"/>
      <c r="C90" s="59"/>
      <c r="D90" s="59"/>
      <c r="F90" s="60"/>
    </row>
    <row r="91" spans="1:7" ht="12.75">
      <c r="A91" s="60" t="s">
        <v>91</v>
      </c>
      <c r="B91" s="60"/>
      <c r="C91" s="60"/>
      <c r="D91" s="60"/>
      <c r="E91" s="60"/>
      <c r="G91" s="60"/>
    </row>
    <row r="92" spans="1:4" ht="12.75">
      <c r="A92" s="59" t="s">
        <v>32</v>
      </c>
      <c r="B92" s="59"/>
      <c r="C92" s="59"/>
      <c r="D92" s="59"/>
    </row>
    <row r="93" spans="1:4" ht="12.75">
      <c r="A93" s="59" t="s">
        <v>33</v>
      </c>
      <c r="B93" s="59"/>
      <c r="C93" s="59"/>
      <c r="D93" s="59"/>
    </row>
    <row r="94" spans="1:4" ht="12.75">
      <c r="A94" s="59" t="s">
        <v>34</v>
      </c>
      <c r="B94" s="59"/>
      <c r="C94" s="59"/>
      <c r="D94" s="59"/>
    </row>
    <row r="95" spans="1:4" ht="12.75">
      <c r="A95" s="60" t="s">
        <v>35</v>
      </c>
      <c r="B95" s="59"/>
      <c r="C95" s="59"/>
      <c r="D95" s="59"/>
    </row>
    <row r="96" spans="1:4" ht="12.75">
      <c r="A96" s="60" t="s">
        <v>36</v>
      </c>
      <c r="B96" s="59"/>
      <c r="C96" s="59"/>
      <c r="D96" s="59"/>
    </row>
    <row r="97" spans="1:4" ht="12.75">
      <c r="A97" s="60" t="s">
        <v>37</v>
      </c>
      <c r="B97" s="59"/>
      <c r="C97" s="59"/>
      <c r="D97" s="59"/>
    </row>
    <row r="98" spans="1:4" ht="12.75">
      <c r="A98" s="60" t="s">
        <v>38</v>
      </c>
      <c r="B98" s="59"/>
      <c r="C98" s="59"/>
      <c r="D98" s="59"/>
    </row>
    <row r="99" spans="1:6" ht="12.75">
      <c r="A99" s="60" t="s">
        <v>39</v>
      </c>
      <c r="B99" s="59"/>
      <c r="C99" s="59"/>
      <c r="D99" s="59"/>
      <c r="F99" s="60"/>
    </row>
    <row r="100" spans="1:7" ht="12.75">
      <c r="A100" s="60" t="s">
        <v>92</v>
      </c>
      <c r="B100" s="60"/>
      <c r="C100" s="60"/>
      <c r="D100" s="60"/>
      <c r="E100" s="60"/>
      <c r="G100" s="60"/>
    </row>
  </sheetData>
  <sheetProtection/>
  <mergeCells count="43">
    <mergeCell ref="A83:C83"/>
    <mergeCell ref="A77:C77"/>
    <mergeCell ref="A78:C78"/>
    <mergeCell ref="A79:C79"/>
    <mergeCell ref="A80:C80"/>
    <mergeCell ref="A81:C81"/>
    <mergeCell ref="A82:C82"/>
    <mergeCell ref="A71:C71"/>
    <mergeCell ref="A72:C72"/>
    <mergeCell ref="A73:C73"/>
    <mergeCell ref="A74:C74"/>
    <mergeCell ref="A75:C75"/>
    <mergeCell ref="A76:C76"/>
    <mergeCell ref="A65:C65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53:C53"/>
    <mergeCell ref="A54:C54"/>
    <mergeCell ref="A55:C55"/>
    <mergeCell ref="A56:C56"/>
    <mergeCell ref="A57:C57"/>
    <mergeCell ref="A58:C58"/>
    <mergeCell ref="B47:C47"/>
    <mergeCell ref="A48:C48"/>
    <mergeCell ref="A49:C49"/>
    <mergeCell ref="A50:C50"/>
    <mergeCell ref="A51:C51"/>
    <mergeCell ref="A52:C52"/>
    <mergeCell ref="B1:F1"/>
    <mergeCell ref="B2:F2"/>
    <mergeCell ref="A3:G3"/>
    <mergeCell ref="F6:G6"/>
    <mergeCell ref="F7:G7"/>
    <mergeCell ref="D16:F16"/>
  </mergeCells>
  <conditionalFormatting sqref="B11 B25">
    <cfRule type="expression" priority="2" dxfId="40" stopIfTrue="1">
      <formula>G11=0</formula>
    </cfRule>
  </conditionalFormatting>
  <conditionalFormatting sqref="A49:C56">
    <cfRule type="expression" priority="3" dxfId="40" stopIfTrue="1">
      <formula>VALUE(NoDPSchedule)&lt;VALUE(LEFT(A49,1))</formula>
    </cfRule>
  </conditionalFormatting>
  <conditionalFormatting sqref="A57:C84">
    <cfRule type="expression" priority="4" dxfId="40" stopIfTrue="1">
      <formula>VALUE(NoDPSchedule)&lt;VALUE(LEFT(A57,2))</formula>
    </cfRule>
  </conditionalFormatting>
  <conditionalFormatting sqref="G11 G25">
    <cfRule type="expression" priority="5" dxfId="40" stopIfTrue="1">
      <formula>G11=0</formula>
    </cfRule>
  </conditionalFormatting>
  <conditionalFormatting sqref="D4">
    <cfRule type="expression" priority="1" dxfId="41" stopIfTrue="1">
      <formula>G5&lt;=TODAY()</formula>
    </cfRule>
  </conditionalFormatting>
  <printOptions horizontalCentered="1"/>
  <pageMargins left="0.2362204724409449" right="0.2362204724409449" top="0.5118110236220472" bottom="0.5118110236220472" header="0.5118110236220472" footer="0.5118110236220472"/>
  <pageSetup fitToHeight="1" fitToWidth="1" horizontalDpi="300" verticalDpi="300" orientation="portrait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92"/>
  <sheetViews>
    <sheetView zoomScalePageLayoutView="0" workbookViewId="0" topLeftCell="A1">
      <selection activeCell="D15" sqref="D15"/>
    </sheetView>
  </sheetViews>
  <sheetFormatPr defaultColWidth="12.375" defaultRowHeight="12.75" customHeight="1"/>
  <cols>
    <col min="1" max="3" width="12.375" style="116" customWidth="1"/>
    <col min="4" max="4" width="17.00390625" style="116" customWidth="1"/>
    <col min="5" max="6" width="14.625" style="116" customWidth="1"/>
    <col min="7" max="7" width="22.00390625" style="116" customWidth="1"/>
    <col min="8" max="9" width="15.00390625" style="116" customWidth="1"/>
    <col min="10" max="10" width="14.125" style="116" customWidth="1"/>
    <col min="11" max="16384" width="12.375" style="116" customWidth="1"/>
  </cols>
  <sheetData>
    <row r="1" spans="1:7" ht="14.25" customHeight="1" thickTop="1">
      <c r="A1" s="23"/>
      <c r="B1" s="175" t="s">
        <v>1</v>
      </c>
      <c r="C1" s="175"/>
      <c r="D1" s="175"/>
      <c r="E1" s="175"/>
      <c r="F1" s="175"/>
      <c r="G1" s="24"/>
    </row>
    <row r="2" spans="1:7" ht="14.25" customHeight="1">
      <c r="A2" s="26"/>
      <c r="B2" s="176" t="s">
        <v>2</v>
      </c>
      <c r="C2" s="176"/>
      <c r="D2" s="176"/>
      <c r="E2" s="176"/>
      <c r="F2" s="176"/>
      <c r="G2" s="27"/>
    </row>
    <row r="3" spans="1:7" ht="30" customHeight="1">
      <c r="A3" s="166" t="s">
        <v>90</v>
      </c>
      <c r="B3" s="167"/>
      <c r="C3" s="167"/>
      <c r="D3" s="167"/>
      <c r="E3" s="167"/>
      <c r="F3" s="167"/>
      <c r="G3" s="168"/>
    </row>
    <row r="4" spans="1:7" ht="13.5" customHeight="1" thickBot="1">
      <c r="A4" s="61" t="str">
        <f>IF(A47&lt;=12,12,A47)</f>
        <v>8th Downpayment due on</v>
      </c>
      <c r="B4" s="62"/>
      <c r="C4" s="62"/>
      <c r="D4" s="63" t="str">
        <f>IF(A47&gt;G5,"TERM IS SUBJECT FOR APPROVAL","SAMPLE COMPUTATION ONLY")</f>
        <v>TERM IS SUBJECT FOR APPROVAL</v>
      </c>
      <c r="E4" s="62"/>
      <c r="F4" s="62"/>
      <c r="G4" s="64"/>
    </row>
    <row r="5" spans="1:7" ht="13.5" customHeight="1" thickTop="1">
      <c r="A5" s="65"/>
      <c r="B5" s="65"/>
      <c r="C5" s="65"/>
      <c r="D5" s="65"/>
      <c r="E5" s="65"/>
      <c r="F5" s="65"/>
      <c r="G5" s="66">
        <v>24</v>
      </c>
    </row>
    <row r="6" spans="1:7" ht="12.75">
      <c r="A6" s="67" t="s">
        <v>3</v>
      </c>
      <c r="B6" s="67" t="s">
        <v>4</v>
      </c>
      <c r="C6" s="67" t="s">
        <v>5</v>
      </c>
      <c r="D6" s="67" t="s">
        <v>6</v>
      </c>
      <c r="E6" s="67"/>
      <c r="F6" s="169" t="s">
        <v>7</v>
      </c>
      <c r="G6" s="169"/>
    </row>
    <row r="7" spans="1:7" ht="12.75">
      <c r="A7" s="68">
        <v>3</v>
      </c>
      <c r="B7" s="68">
        <v>711</v>
      </c>
      <c r="C7" s="68">
        <v>7</v>
      </c>
      <c r="D7" s="68">
        <v>23.16</v>
      </c>
      <c r="E7" s="68"/>
      <c r="F7" s="164" t="s">
        <v>8</v>
      </c>
      <c r="G7" s="164"/>
    </row>
    <row r="8" spans="1:7" ht="12.75" customHeight="1">
      <c r="A8" s="65"/>
      <c r="B8" s="65"/>
      <c r="C8" s="65"/>
      <c r="D8" s="65"/>
      <c r="E8" s="65"/>
      <c r="F8" s="65"/>
      <c r="G8" s="65"/>
    </row>
    <row r="9" spans="1:7" ht="12.75" customHeight="1">
      <c r="A9" s="65"/>
      <c r="B9" s="65"/>
      <c r="C9" s="65"/>
      <c r="D9" s="65"/>
      <c r="E9" s="65"/>
      <c r="F9" s="65"/>
      <c r="G9" s="65"/>
    </row>
    <row r="10" spans="1:7" ht="12.75">
      <c r="A10" s="69" t="s">
        <v>9</v>
      </c>
      <c r="B10" s="69"/>
      <c r="C10" s="70"/>
      <c r="D10" s="71"/>
      <c r="E10" s="71"/>
      <c r="F10" s="72" t="s">
        <v>10</v>
      </c>
      <c r="G10" s="73">
        <v>5409000</v>
      </c>
    </row>
    <row r="11" spans="1:7" ht="12.75">
      <c r="A11" s="116" t="s">
        <v>11</v>
      </c>
      <c r="B11" s="116" t="s">
        <v>12</v>
      </c>
      <c r="C11" s="117"/>
      <c r="F11" s="118"/>
      <c r="G11" s="119">
        <f>ROUND(IF(ISERROR(FIND("PARKING",Model,1)),IF(SellingPrice&gt;3199200,(G10-(G10/1.12)),0),(G10-(G10/1.12))),2)</f>
        <v>579535.71</v>
      </c>
    </row>
    <row r="12" spans="1:10" ht="12.75" hidden="1">
      <c r="A12" s="120">
        <v>0</v>
      </c>
      <c r="B12" s="116" t="str">
        <f>CONCATENATE(A12,"% Discount on ",A33,"% SFDP")</f>
        <v>0% Discount on 20% SFDP</v>
      </c>
      <c r="F12" s="118"/>
      <c r="G12" s="121">
        <v>0</v>
      </c>
      <c r="I12" s="121"/>
      <c r="J12" s="121"/>
    </row>
    <row r="13" spans="2:10" ht="12.75" hidden="1">
      <c r="B13" s="116" t="s">
        <v>13</v>
      </c>
      <c r="G13" s="121">
        <v>0</v>
      </c>
      <c r="I13" s="121"/>
      <c r="J13" s="121"/>
    </row>
    <row r="14" spans="2:10" ht="12.75" hidden="1">
      <c r="B14" s="116" t="s">
        <v>14</v>
      </c>
      <c r="G14" s="121">
        <v>0</v>
      </c>
      <c r="I14" s="121"/>
      <c r="J14" s="121"/>
    </row>
    <row r="15" spans="2:9" ht="12.75">
      <c r="B15" s="116" t="s">
        <v>15</v>
      </c>
      <c r="D15" s="116" t="s">
        <v>112</v>
      </c>
      <c r="G15" s="121">
        <v>40000</v>
      </c>
      <c r="I15" s="121"/>
    </row>
    <row r="16" spans="2:9" ht="12.75" hidden="1">
      <c r="B16" s="116" t="s">
        <v>16</v>
      </c>
      <c r="G16" s="121">
        <v>0</v>
      </c>
      <c r="I16" s="121"/>
    </row>
    <row r="17" spans="2:9" ht="12.75" hidden="1">
      <c r="B17" s="116" t="s">
        <v>109</v>
      </c>
      <c r="G17" s="121">
        <v>0</v>
      </c>
      <c r="I17" s="121"/>
    </row>
    <row r="18" spans="2:10" ht="12.75" hidden="1">
      <c r="B18" s="116" t="s">
        <v>18</v>
      </c>
      <c r="G18" s="121">
        <v>0</v>
      </c>
      <c r="H18" s="121"/>
      <c r="I18" s="121"/>
      <c r="J18" s="121"/>
    </row>
    <row r="19" spans="2:10" ht="12.75" hidden="1">
      <c r="B19" s="116" t="s">
        <v>19</v>
      </c>
      <c r="G19" s="121">
        <v>0</v>
      </c>
      <c r="J19" s="121"/>
    </row>
    <row r="20" spans="2:10" ht="12.75" hidden="1">
      <c r="B20" s="116" t="s">
        <v>20</v>
      </c>
      <c r="G20" s="121">
        <v>0</v>
      </c>
      <c r="J20" s="121"/>
    </row>
    <row r="21" spans="2:10" ht="12.75" hidden="1">
      <c r="B21" s="116" t="s">
        <v>103</v>
      </c>
      <c r="G21" s="121">
        <v>0</v>
      </c>
      <c r="J21" s="121"/>
    </row>
    <row r="22" spans="2:10" ht="12.75" hidden="1">
      <c r="B22" s="116" t="s">
        <v>22</v>
      </c>
      <c r="G22" s="121">
        <v>0</v>
      </c>
      <c r="J22" s="121"/>
    </row>
    <row r="23" spans="6:10" ht="13.5" customHeight="1">
      <c r="F23" s="118"/>
      <c r="G23" s="122"/>
      <c r="J23" s="121"/>
    </row>
    <row r="24" spans="1:7" ht="13.5" customHeight="1">
      <c r="A24" s="123" t="s">
        <v>40</v>
      </c>
      <c r="B24" s="123"/>
      <c r="C24" s="124"/>
      <c r="D24" s="125"/>
      <c r="E24" s="125"/>
      <c r="F24" s="126" t="s">
        <v>10</v>
      </c>
      <c r="G24" s="127">
        <f>(SellingPrice-G11)-SUM(G12:G22)</f>
        <v>4789464.29</v>
      </c>
    </row>
    <row r="25" spans="1:9" ht="12.75">
      <c r="A25" s="116" t="s">
        <v>24</v>
      </c>
      <c r="B25" s="116" t="s">
        <v>12</v>
      </c>
      <c r="G25" s="121">
        <f>ROUND(IF(ISERROR(FIND("PARKING",Model,1)),IF(G24&gt;3199200,G24*12%,0),G24*12%),2)</f>
        <v>574735.71</v>
      </c>
      <c r="I25" s="121"/>
    </row>
    <row r="26" spans="1:7" ht="12.75" hidden="1">
      <c r="A26" s="120">
        <v>7</v>
      </c>
      <c r="B26" s="116" t="s">
        <v>25</v>
      </c>
      <c r="G26" s="121">
        <f>ROUND(G24*(A26/100),2)</f>
        <v>335262.5</v>
      </c>
    </row>
    <row r="27" spans="1:7" ht="12.75" hidden="1">
      <c r="A27" s="120"/>
      <c r="B27" s="116" t="s">
        <v>26</v>
      </c>
      <c r="F27" s="120">
        <f>IF(G27&gt;50000,50000,G27)</f>
        <v>0</v>
      </c>
      <c r="G27" s="121">
        <v>0</v>
      </c>
    </row>
    <row r="28" spans="1:7" ht="12.75" hidden="1">
      <c r="A28" s="120"/>
      <c r="B28" s="116" t="s">
        <v>27</v>
      </c>
      <c r="G28" s="121">
        <v>0</v>
      </c>
    </row>
    <row r="29" spans="1:7" ht="13.5" customHeight="1">
      <c r="A29" s="120"/>
      <c r="B29" s="116" t="s">
        <v>25</v>
      </c>
      <c r="G29" s="121">
        <f>ROUND(SUM(G26,G28,F27),2)+60000</f>
        <v>395262.5</v>
      </c>
    </row>
    <row r="30" spans="1:7" ht="13.5" customHeight="1">
      <c r="A30" s="123" t="s">
        <v>28</v>
      </c>
      <c r="B30" s="123"/>
      <c r="C30" s="124"/>
      <c r="D30" s="125"/>
      <c r="E30" s="125"/>
      <c r="F30" s="126" t="s">
        <v>10</v>
      </c>
      <c r="G30" s="127">
        <f>G24+SUM(G25,G29)</f>
        <v>5759462.5</v>
      </c>
    </row>
    <row r="32" ht="12.75">
      <c r="A32" s="128" t="s">
        <v>41</v>
      </c>
    </row>
    <row r="33" spans="1:10" ht="12.75">
      <c r="A33" s="129">
        <v>20</v>
      </c>
      <c r="B33" s="116" t="str">
        <f>CONCATENATE("Downpayment ("&amp;A33&amp;"% of Selling Price)")</f>
        <v>Downpayment (20% of Selling Price)</v>
      </c>
      <c r="G33" s="121">
        <f>ROUND((G24+G25)*(A33/100),2)</f>
        <v>1072840</v>
      </c>
      <c r="J33" s="121"/>
    </row>
    <row r="34" spans="1:10" ht="13.5" customHeight="1">
      <c r="A34" s="128"/>
      <c r="B34" s="116" t="s">
        <v>42</v>
      </c>
      <c r="G34" s="121">
        <f>ROUND(G29*(A33/100),2)</f>
        <v>79052.5</v>
      </c>
      <c r="J34" s="130"/>
    </row>
    <row r="35" spans="1:7" ht="13.5" customHeight="1">
      <c r="A35" s="123" t="s">
        <v>43</v>
      </c>
      <c r="B35" s="123"/>
      <c r="C35" s="124"/>
      <c r="D35" s="125"/>
      <c r="E35" s="125"/>
      <c r="F35" s="126" t="s">
        <v>10</v>
      </c>
      <c r="G35" s="127">
        <f>SUM(G33:G34)</f>
        <v>1151892.5</v>
      </c>
    </row>
    <row r="36" spans="1:7" ht="13.5" customHeight="1">
      <c r="A36" s="116" t="s">
        <v>11</v>
      </c>
      <c r="B36" s="116" t="s">
        <v>29</v>
      </c>
      <c r="F36" s="131">
        <f ca="1">NOW()</f>
        <v>44211.77902361111</v>
      </c>
      <c r="G36" s="121">
        <v>20000</v>
      </c>
    </row>
    <row r="37" spans="1:7" ht="13.5" customHeight="1">
      <c r="A37" s="123" t="s">
        <v>44</v>
      </c>
      <c r="B37" s="123"/>
      <c r="C37" s="124"/>
      <c r="D37" s="125"/>
      <c r="E37" s="125"/>
      <c r="F37" s="126" t="s">
        <v>10</v>
      </c>
      <c r="G37" s="127">
        <f>G35-G36</f>
        <v>1131892.5</v>
      </c>
    </row>
    <row r="38" ht="12.75">
      <c r="A38" s="120">
        <v>0</v>
      </c>
    </row>
    <row r="39" spans="1:7" ht="25.5" customHeight="1">
      <c r="A39" s="132">
        <v>36</v>
      </c>
      <c r="B39" s="178" t="s">
        <v>46</v>
      </c>
      <c r="C39" s="178"/>
      <c r="D39" s="133" t="s">
        <v>47</v>
      </c>
      <c r="E39" s="134" t="s">
        <v>48</v>
      </c>
      <c r="F39" s="135" t="s">
        <v>25</v>
      </c>
      <c r="G39" s="136" t="s">
        <v>49</v>
      </c>
    </row>
    <row r="40" spans="1:7" ht="12.75">
      <c r="A40" s="179" t="s">
        <v>50</v>
      </c>
      <c r="B40" s="179"/>
      <c r="C40" s="179"/>
      <c r="D40" s="137">
        <f>ReservationDate+19</f>
        <v>44230.77902361111</v>
      </c>
      <c r="E40" s="119">
        <f>ROUND((G35-G36-G34)/A39,2)</f>
        <v>29245.56</v>
      </c>
      <c r="F40" s="138">
        <f>ROUND(SUM(G34:G34)/A39,2)</f>
        <v>2195.9</v>
      </c>
      <c r="G40" s="121">
        <f>SUM(E40:F40)</f>
        <v>31441.460000000003</v>
      </c>
    </row>
    <row r="41" spans="1:7" ht="12.75">
      <c r="A41" s="179" t="s">
        <v>51</v>
      </c>
      <c r="B41" s="179"/>
      <c r="C41" s="179"/>
      <c r="D41" s="137">
        <f>IF(AND(DAY(D40)&gt;2,DAY(D40)&lt;19),DATE(YEAR(D40+30),MONTH(D40+30),DAY(17)),DATE(YEAR(D40+30),MONTH(D40+30)+1,DAY(2)))</f>
        <v>44272</v>
      </c>
      <c r="E41" s="119">
        <f>IF($A$39&lt;VALUE(LEFT(A41,1))," ",IF($A$39=VALUE(LEFT(A41,1)),($G$35-$G$36-$G$34)-($E$40*($A$39-1)),E40))</f>
        <v>29245.56</v>
      </c>
      <c r="F41" s="138">
        <f>IF($A$39&lt;VALUE(LEFT(A41,1))," ",IF($A$39=VALUE(LEFT(A41,1)),$G$34-($F$40*($A$39-1)),F40))</f>
        <v>2195.9</v>
      </c>
      <c r="G41" s="121">
        <f>IF($A$39&lt;VALUE(LEFT(A41,1))," ",SUM(E41:F41))</f>
        <v>31441.460000000003</v>
      </c>
    </row>
    <row r="42" spans="1:7" ht="12.75">
      <c r="A42" s="179" t="s">
        <v>52</v>
      </c>
      <c r="B42" s="179"/>
      <c r="C42" s="179"/>
      <c r="D42" s="137">
        <f>IF($A$39&lt;VALUE(LEFT(A42,1))," ",DATE(YEAR(D41+30),MONTH(D41+30),DAY(D41)))</f>
        <v>44303</v>
      </c>
      <c r="E42" s="119">
        <f aca="true" t="shared" si="0" ref="E42:E48">IF($A$39&lt;VALUE(LEFT(A42,1))," ",IF($A$39=VALUE(LEFT(A42,1)),($G$35-$G$36-$G$34)-($E$40*($A$39-1)),E41))</f>
        <v>29245.56</v>
      </c>
      <c r="F42" s="138">
        <f aca="true" t="shared" si="1" ref="F42:F48">IF($A$39&lt;VALUE(LEFT(A42,1))," ",IF($A$39=VALUE(LEFT(A42,1)),$G$34-($F$40*($A$39-1)),F41))</f>
        <v>2195.9</v>
      </c>
      <c r="G42" s="121">
        <f aca="true" t="shared" si="2" ref="G42:G48">IF($A$39&lt;VALUE(LEFT(A42,1))," ",SUM(E42:F42))</f>
        <v>31441.460000000003</v>
      </c>
    </row>
    <row r="43" spans="1:7" ht="12.75">
      <c r="A43" s="179" t="s">
        <v>53</v>
      </c>
      <c r="B43" s="179"/>
      <c r="C43" s="179"/>
      <c r="D43" s="137">
        <f aca="true" t="shared" si="3" ref="D43:D48">IF($A$39&lt;VALUE(LEFT(A43,1))," ",DATE(YEAR(D42+30),MONTH(D42+30),DAY(D42)))</f>
        <v>44333</v>
      </c>
      <c r="E43" s="119">
        <f t="shared" si="0"/>
        <v>29245.56</v>
      </c>
      <c r="F43" s="138">
        <f t="shared" si="1"/>
        <v>2195.9</v>
      </c>
      <c r="G43" s="121">
        <f t="shared" si="2"/>
        <v>31441.460000000003</v>
      </c>
    </row>
    <row r="44" spans="1:7" ht="12.75">
      <c r="A44" s="179" t="s">
        <v>54</v>
      </c>
      <c r="B44" s="179"/>
      <c r="C44" s="179"/>
      <c r="D44" s="137">
        <f t="shared" si="3"/>
        <v>44364</v>
      </c>
      <c r="E44" s="119">
        <f t="shared" si="0"/>
        <v>29245.56</v>
      </c>
      <c r="F44" s="138">
        <f t="shared" si="1"/>
        <v>2195.9</v>
      </c>
      <c r="G44" s="121">
        <f t="shared" si="2"/>
        <v>31441.460000000003</v>
      </c>
    </row>
    <row r="45" spans="1:7" ht="12.75">
      <c r="A45" s="179" t="s">
        <v>55</v>
      </c>
      <c r="B45" s="179"/>
      <c r="C45" s="179"/>
      <c r="D45" s="137">
        <f t="shared" si="3"/>
        <v>44394</v>
      </c>
      <c r="E45" s="119">
        <f t="shared" si="0"/>
        <v>29245.56</v>
      </c>
      <c r="F45" s="138">
        <f t="shared" si="1"/>
        <v>2195.9</v>
      </c>
      <c r="G45" s="121">
        <f t="shared" si="2"/>
        <v>31441.460000000003</v>
      </c>
    </row>
    <row r="46" spans="1:7" ht="12.75">
      <c r="A46" s="179" t="s">
        <v>56</v>
      </c>
      <c r="B46" s="179"/>
      <c r="C46" s="179"/>
      <c r="D46" s="137">
        <f t="shared" si="3"/>
        <v>44425</v>
      </c>
      <c r="E46" s="119">
        <f t="shared" si="0"/>
        <v>29245.56</v>
      </c>
      <c r="F46" s="138">
        <f t="shared" si="1"/>
        <v>2195.9</v>
      </c>
      <c r="G46" s="121">
        <f t="shared" si="2"/>
        <v>31441.460000000003</v>
      </c>
    </row>
    <row r="47" spans="1:7" ht="12.75">
      <c r="A47" s="179" t="s">
        <v>57</v>
      </c>
      <c r="B47" s="179"/>
      <c r="C47" s="179"/>
      <c r="D47" s="137">
        <f t="shared" si="3"/>
        <v>44456</v>
      </c>
      <c r="E47" s="119">
        <f t="shared" si="0"/>
        <v>29245.56</v>
      </c>
      <c r="F47" s="138">
        <f t="shared" si="1"/>
        <v>2195.9</v>
      </c>
      <c r="G47" s="121">
        <f t="shared" si="2"/>
        <v>31441.460000000003</v>
      </c>
    </row>
    <row r="48" spans="1:7" ht="12.75">
      <c r="A48" s="179" t="s">
        <v>58</v>
      </c>
      <c r="B48" s="179"/>
      <c r="C48" s="179"/>
      <c r="D48" s="137">
        <f t="shared" si="3"/>
        <v>44486</v>
      </c>
      <c r="E48" s="119">
        <f t="shared" si="0"/>
        <v>29245.56</v>
      </c>
      <c r="F48" s="138">
        <f t="shared" si="1"/>
        <v>2195.9</v>
      </c>
      <c r="G48" s="121">
        <f t="shared" si="2"/>
        <v>31441.460000000003</v>
      </c>
    </row>
    <row r="49" spans="1:7" ht="12.75">
      <c r="A49" s="179" t="s">
        <v>59</v>
      </c>
      <c r="B49" s="179"/>
      <c r="C49" s="179"/>
      <c r="D49" s="137">
        <f>IF($A$39&lt;VALUE(LEFT(A49,2))," ",DATE(YEAR(D48+30),MONTH(D48+30),DAY(D48)))</f>
        <v>44517</v>
      </c>
      <c r="E49" s="119">
        <f>IF($A$39&lt;VALUE(LEFT(A49,2))," ",IF($A$39=VALUE(LEFT(A49,2)),($G$35-$G$36-$G$34)-($E$40*($A$39-1)),E48))</f>
        <v>29245.56</v>
      </c>
      <c r="F49" s="138">
        <f>IF($A$39&lt;VALUE(LEFT(A49,2))," ",IF($A$39=VALUE(LEFT(A49,2)),$G$34-($F$40*($A$39-1)),F48))</f>
        <v>2195.9</v>
      </c>
      <c r="G49" s="121">
        <f>IF($A$39&lt;VALUE(LEFT(A49,2))," ",SUM(E49:F49))</f>
        <v>31441.460000000003</v>
      </c>
    </row>
    <row r="50" spans="1:7" ht="12.75">
      <c r="A50" s="179" t="s">
        <v>60</v>
      </c>
      <c r="B50" s="179"/>
      <c r="C50" s="179"/>
      <c r="D50" s="137">
        <f aca="true" t="shared" si="4" ref="D50:D63">IF($A$39&lt;VALUE(LEFT(A50,2))," ",DATE(YEAR(D49+30),MONTH(D49+30),DAY(D49)))</f>
        <v>44547</v>
      </c>
      <c r="E50" s="119">
        <f aca="true" t="shared" si="5" ref="E50:E63">IF($A$39&lt;VALUE(LEFT(A50,2))," ",IF($A$39=VALUE(LEFT(A50,2)),($G$35-$G$36-$G$34)-($E$40*($A$39-1)),E49))</f>
        <v>29245.56</v>
      </c>
      <c r="F50" s="138">
        <f aca="true" t="shared" si="6" ref="F50:F63">IF($A$39&lt;VALUE(LEFT(A50,2))," ",IF($A$39=VALUE(LEFT(A50,2)),$G$34-($F$40*($A$39-1)),F49))</f>
        <v>2195.9</v>
      </c>
      <c r="G50" s="121">
        <f aca="true" t="shared" si="7" ref="G50:G63">IF($A$39&lt;VALUE(LEFT(A50,2))," ",SUM(E50:F50))</f>
        <v>31441.460000000003</v>
      </c>
    </row>
    <row r="51" spans="1:7" ht="12.75">
      <c r="A51" s="179" t="s">
        <v>61</v>
      </c>
      <c r="B51" s="179"/>
      <c r="C51" s="179"/>
      <c r="D51" s="137">
        <f t="shared" si="4"/>
        <v>44578</v>
      </c>
      <c r="E51" s="119">
        <f t="shared" si="5"/>
        <v>29245.56</v>
      </c>
      <c r="F51" s="138">
        <f t="shared" si="6"/>
        <v>2195.9</v>
      </c>
      <c r="G51" s="121">
        <f t="shared" si="7"/>
        <v>31441.460000000003</v>
      </c>
    </row>
    <row r="52" spans="1:7" ht="12.75">
      <c r="A52" s="179" t="s">
        <v>62</v>
      </c>
      <c r="B52" s="179"/>
      <c r="C52" s="179"/>
      <c r="D52" s="137">
        <f t="shared" si="4"/>
        <v>44609</v>
      </c>
      <c r="E52" s="119">
        <f t="shared" si="5"/>
        <v>29245.56</v>
      </c>
      <c r="F52" s="138">
        <f t="shared" si="6"/>
        <v>2195.9</v>
      </c>
      <c r="G52" s="121">
        <f t="shared" si="7"/>
        <v>31441.460000000003</v>
      </c>
    </row>
    <row r="53" spans="1:7" ht="12.75">
      <c r="A53" s="179" t="s">
        <v>63</v>
      </c>
      <c r="B53" s="179"/>
      <c r="C53" s="179"/>
      <c r="D53" s="137">
        <f t="shared" si="4"/>
        <v>44637</v>
      </c>
      <c r="E53" s="119">
        <f t="shared" si="5"/>
        <v>29245.56</v>
      </c>
      <c r="F53" s="138">
        <f t="shared" si="6"/>
        <v>2195.9</v>
      </c>
      <c r="G53" s="121">
        <f t="shared" si="7"/>
        <v>31441.460000000003</v>
      </c>
    </row>
    <row r="54" spans="1:7" ht="12.75">
      <c r="A54" s="179" t="s">
        <v>64</v>
      </c>
      <c r="B54" s="179"/>
      <c r="C54" s="179"/>
      <c r="D54" s="137">
        <f t="shared" si="4"/>
        <v>44668</v>
      </c>
      <c r="E54" s="119">
        <f t="shared" si="5"/>
        <v>29245.56</v>
      </c>
      <c r="F54" s="138">
        <f t="shared" si="6"/>
        <v>2195.9</v>
      </c>
      <c r="G54" s="121">
        <f t="shared" si="7"/>
        <v>31441.460000000003</v>
      </c>
    </row>
    <row r="55" spans="1:7" ht="12.75">
      <c r="A55" s="179" t="s">
        <v>65</v>
      </c>
      <c r="B55" s="179"/>
      <c r="C55" s="179"/>
      <c r="D55" s="137">
        <f t="shared" si="4"/>
        <v>44698</v>
      </c>
      <c r="E55" s="119">
        <f t="shared" si="5"/>
        <v>29245.56</v>
      </c>
      <c r="F55" s="138">
        <f t="shared" si="6"/>
        <v>2195.9</v>
      </c>
      <c r="G55" s="121">
        <f t="shared" si="7"/>
        <v>31441.460000000003</v>
      </c>
    </row>
    <row r="56" spans="1:7" ht="12.75">
      <c r="A56" s="179" t="s">
        <v>66</v>
      </c>
      <c r="B56" s="179"/>
      <c r="C56" s="179"/>
      <c r="D56" s="137">
        <f t="shared" si="4"/>
        <v>44729</v>
      </c>
      <c r="E56" s="119">
        <f t="shared" si="5"/>
        <v>29245.56</v>
      </c>
      <c r="F56" s="138">
        <f t="shared" si="6"/>
        <v>2195.9</v>
      </c>
      <c r="G56" s="121">
        <f t="shared" si="7"/>
        <v>31441.460000000003</v>
      </c>
    </row>
    <row r="57" spans="1:7" ht="12.75">
      <c r="A57" s="179" t="s">
        <v>67</v>
      </c>
      <c r="B57" s="179"/>
      <c r="C57" s="179"/>
      <c r="D57" s="137">
        <f t="shared" si="4"/>
        <v>44759</v>
      </c>
      <c r="E57" s="119">
        <f t="shared" si="5"/>
        <v>29245.56</v>
      </c>
      <c r="F57" s="138">
        <f t="shared" si="6"/>
        <v>2195.9</v>
      </c>
      <c r="G57" s="121">
        <f t="shared" si="7"/>
        <v>31441.460000000003</v>
      </c>
    </row>
    <row r="58" spans="1:7" ht="12.75">
      <c r="A58" s="179" t="s">
        <v>68</v>
      </c>
      <c r="B58" s="179"/>
      <c r="C58" s="179"/>
      <c r="D58" s="137">
        <f t="shared" si="4"/>
        <v>44790</v>
      </c>
      <c r="E58" s="119">
        <f t="shared" si="5"/>
        <v>29245.56</v>
      </c>
      <c r="F58" s="138">
        <f t="shared" si="6"/>
        <v>2195.9</v>
      </c>
      <c r="G58" s="121">
        <f t="shared" si="7"/>
        <v>31441.460000000003</v>
      </c>
    </row>
    <row r="59" spans="1:7" ht="12.75">
      <c r="A59" s="179" t="s">
        <v>69</v>
      </c>
      <c r="B59" s="179"/>
      <c r="C59" s="179"/>
      <c r="D59" s="137">
        <f t="shared" si="4"/>
        <v>44821</v>
      </c>
      <c r="E59" s="119">
        <f t="shared" si="5"/>
        <v>29245.56</v>
      </c>
      <c r="F59" s="138">
        <f t="shared" si="6"/>
        <v>2195.9</v>
      </c>
      <c r="G59" s="121">
        <f t="shared" si="7"/>
        <v>31441.460000000003</v>
      </c>
    </row>
    <row r="60" spans="1:7" ht="12.75">
      <c r="A60" s="179" t="s">
        <v>70</v>
      </c>
      <c r="B60" s="179"/>
      <c r="C60" s="179"/>
      <c r="D60" s="137">
        <f t="shared" si="4"/>
        <v>44851</v>
      </c>
      <c r="E60" s="119">
        <f t="shared" si="5"/>
        <v>29245.56</v>
      </c>
      <c r="F60" s="138">
        <f t="shared" si="6"/>
        <v>2195.9</v>
      </c>
      <c r="G60" s="121">
        <f t="shared" si="7"/>
        <v>31441.460000000003</v>
      </c>
    </row>
    <row r="61" spans="1:7" ht="12.75">
      <c r="A61" s="179" t="s">
        <v>71</v>
      </c>
      <c r="B61" s="179"/>
      <c r="C61" s="179"/>
      <c r="D61" s="137">
        <f t="shared" si="4"/>
        <v>44882</v>
      </c>
      <c r="E61" s="119">
        <f t="shared" si="5"/>
        <v>29245.56</v>
      </c>
      <c r="F61" s="138">
        <f t="shared" si="6"/>
        <v>2195.9</v>
      </c>
      <c r="G61" s="121">
        <f t="shared" si="7"/>
        <v>31441.460000000003</v>
      </c>
    </row>
    <row r="62" spans="1:7" ht="12.75">
      <c r="A62" s="179" t="s">
        <v>72</v>
      </c>
      <c r="B62" s="179"/>
      <c r="C62" s="179"/>
      <c r="D62" s="137">
        <f t="shared" si="4"/>
        <v>44912</v>
      </c>
      <c r="E62" s="119">
        <f t="shared" si="5"/>
        <v>29245.56</v>
      </c>
      <c r="F62" s="138">
        <f t="shared" si="6"/>
        <v>2195.9</v>
      </c>
      <c r="G62" s="121">
        <f t="shared" si="7"/>
        <v>31441.460000000003</v>
      </c>
    </row>
    <row r="63" spans="1:7" ht="12.75">
      <c r="A63" s="179" t="s">
        <v>73</v>
      </c>
      <c r="B63" s="179"/>
      <c r="C63" s="179"/>
      <c r="D63" s="137">
        <f t="shared" si="4"/>
        <v>44943</v>
      </c>
      <c r="E63" s="119">
        <f t="shared" si="5"/>
        <v>29245.56</v>
      </c>
      <c r="F63" s="138">
        <f t="shared" si="6"/>
        <v>2195.9</v>
      </c>
      <c r="G63" s="121">
        <f t="shared" si="7"/>
        <v>31441.460000000003</v>
      </c>
    </row>
    <row r="64" spans="1:7" ht="12.75">
      <c r="A64" s="179" t="s">
        <v>74</v>
      </c>
      <c r="B64" s="179"/>
      <c r="C64" s="179"/>
      <c r="D64" s="137">
        <f aca="true" t="shared" si="8" ref="D64:D75">IF($A$39&lt;VALUE(LEFT(A64,2))," ",DATE(YEAR(D63+30),MONTH(D63+30),DAY(D63)))</f>
        <v>44974</v>
      </c>
      <c r="E64" s="119">
        <f aca="true" t="shared" si="9" ref="E64:E75">IF($A$39&lt;VALUE(LEFT(A64,2))," ",IF($A$39=VALUE(LEFT(A64,2)),($G$35-$G$36-$G$34)-($E$40*($A$39-1)),E63))</f>
        <v>29245.56</v>
      </c>
      <c r="F64" s="138">
        <f aca="true" t="shared" si="10" ref="F64:F75">IF($A$39&lt;VALUE(LEFT(A64,2))," ",IF($A$39=VALUE(LEFT(A64,2)),$G$34-($F$40*($A$39-1)),F63))</f>
        <v>2195.9</v>
      </c>
      <c r="G64" s="121">
        <f aca="true" t="shared" si="11" ref="G64:G75">IF($A$39&lt;VALUE(LEFT(A64,2))," ",SUM(E64:F64))</f>
        <v>31441.460000000003</v>
      </c>
    </row>
    <row r="65" spans="1:7" ht="12.75">
      <c r="A65" s="179" t="s">
        <v>75</v>
      </c>
      <c r="B65" s="179"/>
      <c r="C65" s="179"/>
      <c r="D65" s="137">
        <f t="shared" si="8"/>
        <v>45002</v>
      </c>
      <c r="E65" s="119">
        <f t="shared" si="9"/>
        <v>29245.56</v>
      </c>
      <c r="F65" s="138">
        <f t="shared" si="10"/>
        <v>2195.9</v>
      </c>
      <c r="G65" s="121">
        <f t="shared" si="11"/>
        <v>31441.460000000003</v>
      </c>
    </row>
    <row r="66" spans="1:7" ht="12.75">
      <c r="A66" s="179" t="s">
        <v>76</v>
      </c>
      <c r="B66" s="179"/>
      <c r="C66" s="179"/>
      <c r="D66" s="137">
        <f t="shared" si="8"/>
        <v>45033</v>
      </c>
      <c r="E66" s="119">
        <f t="shared" si="9"/>
        <v>29245.56</v>
      </c>
      <c r="F66" s="138">
        <f t="shared" si="10"/>
        <v>2195.9</v>
      </c>
      <c r="G66" s="121">
        <f t="shared" si="11"/>
        <v>31441.460000000003</v>
      </c>
    </row>
    <row r="67" spans="1:7" ht="12.75">
      <c r="A67" s="179" t="s">
        <v>77</v>
      </c>
      <c r="B67" s="179"/>
      <c r="C67" s="179"/>
      <c r="D67" s="137">
        <f t="shared" si="8"/>
        <v>45063</v>
      </c>
      <c r="E67" s="119">
        <f t="shared" si="9"/>
        <v>29245.56</v>
      </c>
      <c r="F67" s="138">
        <f t="shared" si="10"/>
        <v>2195.9</v>
      </c>
      <c r="G67" s="121">
        <f t="shared" si="11"/>
        <v>31441.460000000003</v>
      </c>
    </row>
    <row r="68" spans="1:7" ht="12.75">
      <c r="A68" s="179" t="s">
        <v>78</v>
      </c>
      <c r="B68" s="179"/>
      <c r="C68" s="179"/>
      <c r="D68" s="137">
        <f t="shared" si="8"/>
        <v>45094</v>
      </c>
      <c r="E68" s="119">
        <f t="shared" si="9"/>
        <v>29245.56</v>
      </c>
      <c r="F68" s="138">
        <f t="shared" si="10"/>
        <v>2195.9</v>
      </c>
      <c r="G68" s="121">
        <f t="shared" si="11"/>
        <v>31441.460000000003</v>
      </c>
    </row>
    <row r="69" spans="1:7" ht="12.75">
      <c r="A69" s="179" t="s">
        <v>79</v>
      </c>
      <c r="B69" s="179"/>
      <c r="C69" s="179"/>
      <c r="D69" s="137">
        <f t="shared" si="8"/>
        <v>45124</v>
      </c>
      <c r="E69" s="119">
        <f t="shared" si="9"/>
        <v>29245.56</v>
      </c>
      <c r="F69" s="138">
        <f t="shared" si="10"/>
        <v>2195.9</v>
      </c>
      <c r="G69" s="121">
        <f t="shared" si="11"/>
        <v>31441.460000000003</v>
      </c>
    </row>
    <row r="70" spans="1:7" ht="12.75">
      <c r="A70" s="179" t="s">
        <v>80</v>
      </c>
      <c r="B70" s="179"/>
      <c r="C70" s="179"/>
      <c r="D70" s="137">
        <f t="shared" si="8"/>
        <v>45155</v>
      </c>
      <c r="E70" s="119">
        <f t="shared" si="9"/>
        <v>29245.56</v>
      </c>
      <c r="F70" s="138">
        <f t="shared" si="10"/>
        <v>2195.9</v>
      </c>
      <c r="G70" s="121">
        <f t="shared" si="11"/>
        <v>31441.460000000003</v>
      </c>
    </row>
    <row r="71" spans="1:7" ht="12.75">
      <c r="A71" s="179" t="s">
        <v>81</v>
      </c>
      <c r="B71" s="179"/>
      <c r="C71" s="179"/>
      <c r="D71" s="137">
        <f t="shared" si="8"/>
        <v>45186</v>
      </c>
      <c r="E71" s="119">
        <f t="shared" si="9"/>
        <v>29245.56</v>
      </c>
      <c r="F71" s="138">
        <f t="shared" si="10"/>
        <v>2195.9</v>
      </c>
      <c r="G71" s="121">
        <f t="shared" si="11"/>
        <v>31441.460000000003</v>
      </c>
    </row>
    <row r="72" spans="1:7" ht="12.75">
      <c r="A72" s="179" t="s">
        <v>82</v>
      </c>
      <c r="B72" s="179"/>
      <c r="C72" s="179"/>
      <c r="D72" s="137">
        <f t="shared" si="8"/>
        <v>45216</v>
      </c>
      <c r="E72" s="119">
        <f t="shared" si="9"/>
        <v>29245.56</v>
      </c>
      <c r="F72" s="138">
        <f t="shared" si="10"/>
        <v>2195.9</v>
      </c>
      <c r="G72" s="121">
        <f t="shared" si="11"/>
        <v>31441.460000000003</v>
      </c>
    </row>
    <row r="73" spans="1:7" ht="12.75">
      <c r="A73" s="179" t="s">
        <v>83</v>
      </c>
      <c r="B73" s="179"/>
      <c r="C73" s="179"/>
      <c r="D73" s="137">
        <f t="shared" si="8"/>
        <v>45247</v>
      </c>
      <c r="E73" s="119">
        <f t="shared" si="9"/>
        <v>29245.56</v>
      </c>
      <c r="F73" s="138">
        <f t="shared" si="10"/>
        <v>2195.9</v>
      </c>
      <c r="G73" s="121">
        <f t="shared" si="11"/>
        <v>31441.460000000003</v>
      </c>
    </row>
    <row r="74" spans="1:7" ht="12.75">
      <c r="A74" s="179" t="s">
        <v>84</v>
      </c>
      <c r="B74" s="179"/>
      <c r="C74" s="179"/>
      <c r="D74" s="137">
        <f t="shared" si="8"/>
        <v>45277</v>
      </c>
      <c r="E74" s="119">
        <f t="shared" si="9"/>
        <v>29245.56</v>
      </c>
      <c r="F74" s="138">
        <f t="shared" si="10"/>
        <v>2195.9</v>
      </c>
      <c r="G74" s="121">
        <f t="shared" si="11"/>
        <v>31441.460000000003</v>
      </c>
    </row>
    <row r="75" spans="1:7" ht="12.75">
      <c r="A75" s="179" t="s">
        <v>85</v>
      </c>
      <c r="B75" s="179"/>
      <c r="C75" s="179"/>
      <c r="D75" s="137">
        <f t="shared" si="8"/>
        <v>45308</v>
      </c>
      <c r="E75" s="119">
        <f t="shared" si="9"/>
        <v>29245.399999999907</v>
      </c>
      <c r="F75" s="138">
        <f t="shared" si="10"/>
        <v>2196</v>
      </c>
      <c r="G75" s="121">
        <f t="shared" si="11"/>
        <v>31441.399999999907</v>
      </c>
    </row>
    <row r="76" spans="2:7" ht="12.75">
      <c r="B76" s="139"/>
      <c r="E76" s="140"/>
      <c r="F76" s="131"/>
      <c r="G76" s="141"/>
    </row>
    <row r="77" ht="12.75">
      <c r="A77" s="128" t="s">
        <v>86</v>
      </c>
    </row>
    <row r="78" spans="2:6" ht="12.75">
      <c r="B78" s="116" t="s">
        <v>87</v>
      </c>
      <c r="F78" s="142">
        <f>D70</f>
        <v>45155</v>
      </c>
    </row>
    <row r="79" spans="2:9" ht="12.75">
      <c r="B79" s="116" t="s">
        <v>88</v>
      </c>
      <c r="F79" s="142">
        <f>D75+30</f>
        <v>45338</v>
      </c>
      <c r="G79" s="143">
        <f>ROUND(((G24+G25)*((100-A33)/100))+(G29*(100-A33)/100),2)</f>
        <v>4607570</v>
      </c>
      <c r="I79" s="121"/>
    </row>
    <row r="80" ht="12.75">
      <c r="B80" s="116" t="s">
        <v>89</v>
      </c>
    </row>
    <row r="82" spans="1:4" ht="12.75">
      <c r="A82" s="144" t="s">
        <v>31</v>
      </c>
      <c r="B82" s="145"/>
      <c r="C82" s="145"/>
      <c r="D82" s="145"/>
    </row>
    <row r="83" spans="1:7" ht="12.75">
      <c r="A83" s="180" t="s">
        <v>94</v>
      </c>
      <c r="B83" s="180"/>
      <c r="C83" s="180"/>
      <c r="D83" s="180"/>
      <c r="E83" s="180"/>
      <c r="F83" s="180"/>
      <c r="G83" s="180"/>
    </row>
    <row r="84" spans="1:4" ht="12.75">
      <c r="A84" s="145" t="s">
        <v>32</v>
      </c>
      <c r="B84" s="145"/>
      <c r="C84" s="145"/>
      <c r="D84" s="145"/>
    </row>
    <row r="85" spans="1:4" ht="12.75">
      <c r="A85" s="145" t="s">
        <v>33</v>
      </c>
      <c r="B85" s="145"/>
      <c r="C85" s="145"/>
      <c r="D85" s="145"/>
    </row>
    <row r="86" spans="1:4" ht="12.75">
      <c r="A86" s="145" t="s">
        <v>34</v>
      </c>
      <c r="B86" s="145"/>
      <c r="C86" s="145"/>
      <c r="D86" s="145"/>
    </row>
    <row r="87" spans="1:4" ht="12.75">
      <c r="A87" s="146" t="s">
        <v>35</v>
      </c>
      <c r="B87" s="145"/>
      <c r="C87" s="145"/>
      <c r="D87" s="145"/>
    </row>
    <row r="88" spans="1:4" ht="12.75">
      <c r="A88" s="146" t="s">
        <v>36</v>
      </c>
      <c r="B88" s="145"/>
      <c r="C88" s="145"/>
      <c r="D88" s="145"/>
    </row>
    <row r="89" spans="1:4" ht="12.75">
      <c r="A89" s="146" t="s">
        <v>37</v>
      </c>
      <c r="B89" s="145"/>
      <c r="C89" s="145"/>
      <c r="D89" s="145"/>
    </row>
    <row r="90" spans="1:4" ht="12.75">
      <c r="A90" s="146" t="s">
        <v>38</v>
      </c>
      <c r="B90" s="145"/>
      <c r="C90" s="145"/>
      <c r="D90" s="145"/>
    </row>
    <row r="91" spans="1:4" ht="12.75">
      <c r="A91" s="146" t="s">
        <v>39</v>
      </c>
      <c r="B91" s="145"/>
      <c r="C91" s="145"/>
      <c r="D91" s="145"/>
    </row>
    <row r="92" spans="1:7" ht="12.75">
      <c r="A92" s="180" t="s">
        <v>104</v>
      </c>
      <c r="B92" s="180"/>
      <c r="C92" s="180"/>
      <c r="D92" s="180"/>
      <c r="E92" s="180"/>
      <c r="F92" s="180"/>
      <c r="G92" s="180"/>
    </row>
  </sheetData>
  <sheetProtection/>
  <mergeCells count="44">
    <mergeCell ref="A72:C72"/>
    <mergeCell ref="A73:C73"/>
    <mergeCell ref="A74:C74"/>
    <mergeCell ref="A75:C75"/>
    <mergeCell ref="A66:C66"/>
    <mergeCell ref="A67:C67"/>
    <mergeCell ref="A68:C68"/>
    <mergeCell ref="A69:C69"/>
    <mergeCell ref="A70:C70"/>
    <mergeCell ref="A71:C71"/>
    <mergeCell ref="A83:G83"/>
    <mergeCell ref="A92:G92"/>
    <mergeCell ref="A57:C57"/>
    <mergeCell ref="A58:C58"/>
    <mergeCell ref="A59:C59"/>
    <mergeCell ref="A60:C60"/>
    <mergeCell ref="A61:C61"/>
    <mergeCell ref="A62:C62"/>
    <mergeCell ref="A64:C64"/>
    <mergeCell ref="A65:C65"/>
    <mergeCell ref="A52:C52"/>
    <mergeCell ref="A53:C53"/>
    <mergeCell ref="A54:C54"/>
    <mergeCell ref="A55:C55"/>
    <mergeCell ref="A56:C56"/>
    <mergeCell ref="A63:C63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B1:F1"/>
    <mergeCell ref="B2:F2"/>
    <mergeCell ref="A3:G3"/>
    <mergeCell ref="F6:G6"/>
    <mergeCell ref="F7:G7"/>
    <mergeCell ref="B39:C39"/>
  </mergeCells>
  <conditionalFormatting sqref="B11 B25">
    <cfRule type="expression" priority="6" dxfId="40" stopIfTrue="1">
      <formula>G11=0</formula>
    </cfRule>
  </conditionalFormatting>
  <conditionalFormatting sqref="A41:C48">
    <cfRule type="expression" priority="5" dxfId="40" stopIfTrue="1">
      <formula>VALUE(NoDPSchedule)&lt;VALUE(LEFT(A41,1))</formula>
    </cfRule>
  </conditionalFormatting>
  <conditionalFormatting sqref="A49:C75">
    <cfRule type="expression" priority="4" dxfId="40" stopIfTrue="1">
      <formula>VALUE(NoDPSchedule)&lt;VALUE(LEFT(A49,2))</formula>
    </cfRule>
  </conditionalFormatting>
  <conditionalFormatting sqref="G11 G25">
    <cfRule type="expression" priority="3" dxfId="40" stopIfTrue="1">
      <formula>G11=0</formula>
    </cfRule>
  </conditionalFormatting>
  <conditionalFormatting sqref="D4">
    <cfRule type="expression" priority="1" dxfId="41" stopIfTrue="1">
      <formula>G5&lt;=TODAY()</formula>
    </cfRule>
  </conditionalFormatting>
  <printOptions horizontalCentered="1"/>
  <pageMargins left="0.25" right="0.25" top="0.5" bottom="0.5" header="0.5" footer="0.5"/>
  <pageSetup fitToHeight="1" fitToWidth="1" horizontalDpi="300" verticalDpi="3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92"/>
  <sheetViews>
    <sheetView zoomScalePageLayoutView="0" workbookViewId="0" topLeftCell="A1">
      <selection activeCell="D15" sqref="D15"/>
    </sheetView>
  </sheetViews>
  <sheetFormatPr defaultColWidth="12.375" defaultRowHeight="12.75" customHeight="1"/>
  <cols>
    <col min="1" max="3" width="12.375" style="116" customWidth="1"/>
    <col min="4" max="4" width="17.00390625" style="116" customWidth="1"/>
    <col min="5" max="6" width="14.625" style="116" customWidth="1"/>
    <col min="7" max="7" width="22.00390625" style="116" customWidth="1"/>
    <col min="8" max="9" width="15.00390625" style="116" customWidth="1"/>
    <col min="10" max="10" width="14.125" style="116" customWidth="1"/>
    <col min="11" max="16384" width="12.375" style="116" customWidth="1"/>
  </cols>
  <sheetData>
    <row r="1" spans="1:7" ht="14.25" customHeight="1" thickTop="1">
      <c r="A1" s="23"/>
      <c r="B1" s="175" t="s">
        <v>1</v>
      </c>
      <c r="C1" s="175"/>
      <c r="D1" s="175"/>
      <c r="E1" s="175"/>
      <c r="F1" s="175"/>
      <c r="G1" s="24"/>
    </row>
    <row r="2" spans="1:7" ht="14.25" customHeight="1">
      <c r="A2" s="26"/>
      <c r="B2" s="176" t="s">
        <v>2</v>
      </c>
      <c r="C2" s="176"/>
      <c r="D2" s="176"/>
      <c r="E2" s="176"/>
      <c r="F2" s="176"/>
      <c r="G2" s="27"/>
    </row>
    <row r="3" spans="1:7" ht="30" customHeight="1">
      <c r="A3" s="166" t="s">
        <v>90</v>
      </c>
      <c r="B3" s="167"/>
      <c r="C3" s="167"/>
      <c r="D3" s="167"/>
      <c r="E3" s="167"/>
      <c r="F3" s="167"/>
      <c r="G3" s="168"/>
    </row>
    <row r="4" spans="1:7" ht="13.5" customHeight="1" thickBot="1">
      <c r="A4" s="61" t="str">
        <f>IF(A47&lt;=12,12,A47)</f>
        <v>8th Downpayment due on</v>
      </c>
      <c r="B4" s="62"/>
      <c r="C4" s="62"/>
      <c r="D4" s="63" t="str">
        <f>IF(A47&gt;G5,"TERM IS SUBJECT FOR APPROVAL","SAMPLE COMPUTATION ONLY")</f>
        <v>TERM IS SUBJECT FOR APPROVAL</v>
      </c>
      <c r="E4" s="62"/>
      <c r="F4" s="62"/>
      <c r="G4" s="64"/>
    </row>
    <row r="5" spans="1:7" ht="13.5" customHeight="1" thickTop="1">
      <c r="A5" s="65"/>
      <c r="B5" s="65"/>
      <c r="C5" s="65"/>
      <c r="D5" s="65"/>
      <c r="E5" s="65"/>
      <c r="F5" s="65"/>
      <c r="G5" s="66">
        <v>24</v>
      </c>
    </row>
    <row r="6" spans="1:7" ht="12.75">
      <c r="A6" s="67" t="s">
        <v>3</v>
      </c>
      <c r="B6" s="67" t="s">
        <v>4</v>
      </c>
      <c r="C6" s="67" t="s">
        <v>5</v>
      </c>
      <c r="D6" s="67" t="s">
        <v>6</v>
      </c>
      <c r="E6" s="67"/>
      <c r="F6" s="169" t="s">
        <v>7</v>
      </c>
      <c r="G6" s="169"/>
    </row>
    <row r="7" spans="1:7" ht="12.75">
      <c r="A7" s="68">
        <v>3</v>
      </c>
      <c r="B7" s="68">
        <v>711</v>
      </c>
      <c r="C7" s="68">
        <v>7</v>
      </c>
      <c r="D7" s="68">
        <v>23.16</v>
      </c>
      <c r="E7" s="68"/>
      <c r="F7" s="164" t="s">
        <v>8</v>
      </c>
      <c r="G7" s="164"/>
    </row>
    <row r="8" spans="1:7" ht="12.75" customHeight="1">
      <c r="A8" s="65"/>
      <c r="B8" s="65"/>
      <c r="C8" s="65"/>
      <c r="D8" s="65"/>
      <c r="E8" s="65"/>
      <c r="F8" s="65"/>
      <c r="G8" s="65"/>
    </row>
    <row r="9" spans="1:7" ht="12.75" customHeight="1">
      <c r="A9" s="65"/>
      <c r="B9" s="65"/>
      <c r="C9" s="65"/>
      <c r="D9" s="65"/>
      <c r="E9" s="65"/>
      <c r="F9" s="65"/>
      <c r="G9" s="65"/>
    </row>
    <row r="10" spans="1:7" ht="15.75" customHeight="1">
      <c r="A10" s="69" t="s">
        <v>9</v>
      </c>
      <c r="B10" s="69"/>
      <c r="C10" s="70"/>
      <c r="D10" s="71"/>
      <c r="E10" s="71"/>
      <c r="F10" s="72" t="s">
        <v>10</v>
      </c>
      <c r="G10" s="73">
        <v>5409000</v>
      </c>
    </row>
    <row r="11" spans="1:7" ht="12.75">
      <c r="A11" s="116" t="s">
        <v>11</v>
      </c>
      <c r="B11" s="116" t="s">
        <v>12</v>
      </c>
      <c r="C11" s="117"/>
      <c r="F11" s="118"/>
      <c r="G11" s="119">
        <f>ROUND(IF(ISERROR(FIND("PARKING",Model,1)),IF(SellingPrice&gt;3199200,(G10-(G10/1.12)),0),(G10-(G10/1.12))),2)</f>
        <v>579535.71</v>
      </c>
    </row>
    <row r="12" spans="1:10" ht="12.75" hidden="1">
      <c r="A12" s="120">
        <v>0</v>
      </c>
      <c r="B12" s="116" t="str">
        <f>CONCATENATE(A12,"% Discount on ",A33,"% SFDP")</f>
        <v>0% Discount on 15% SFDP</v>
      </c>
      <c r="F12" s="118"/>
      <c r="G12" s="121">
        <v>0</v>
      </c>
      <c r="I12" s="121"/>
      <c r="J12" s="121"/>
    </row>
    <row r="13" spans="2:10" ht="12.75" hidden="1">
      <c r="B13" s="116" t="s">
        <v>13</v>
      </c>
      <c r="G13" s="121">
        <v>0</v>
      </c>
      <c r="I13" s="121"/>
      <c r="J13" s="121"/>
    </row>
    <row r="14" spans="2:10" ht="12.75" hidden="1">
      <c r="B14" s="116" t="s">
        <v>14</v>
      </c>
      <c r="G14" s="121">
        <v>0</v>
      </c>
      <c r="I14" s="121"/>
      <c r="J14" s="121"/>
    </row>
    <row r="15" spans="2:9" ht="12.75">
      <c r="B15" s="116" t="s">
        <v>15</v>
      </c>
      <c r="D15" s="116" t="s">
        <v>112</v>
      </c>
      <c r="G15" s="121">
        <v>40000</v>
      </c>
      <c r="I15" s="121"/>
    </row>
    <row r="16" spans="2:9" ht="12.75" hidden="1">
      <c r="B16" s="116" t="s">
        <v>16</v>
      </c>
      <c r="G16" s="121">
        <v>0</v>
      </c>
      <c r="I16" s="121"/>
    </row>
    <row r="17" spans="2:9" ht="12.75" hidden="1">
      <c r="B17" s="116" t="s">
        <v>109</v>
      </c>
      <c r="G17" s="121">
        <v>0</v>
      </c>
      <c r="I17" s="121"/>
    </row>
    <row r="18" spans="2:10" ht="12.75" hidden="1">
      <c r="B18" s="116" t="s">
        <v>18</v>
      </c>
      <c r="G18" s="121">
        <v>0</v>
      </c>
      <c r="H18" s="121"/>
      <c r="I18" s="121"/>
      <c r="J18" s="121"/>
    </row>
    <row r="19" spans="2:10" ht="12.75" hidden="1">
      <c r="B19" s="116" t="s">
        <v>19</v>
      </c>
      <c r="G19" s="121">
        <v>0</v>
      </c>
      <c r="J19" s="121"/>
    </row>
    <row r="20" spans="2:10" ht="12.75" hidden="1">
      <c r="B20" s="116" t="s">
        <v>20</v>
      </c>
      <c r="G20" s="121">
        <v>0</v>
      </c>
      <c r="J20" s="121"/>
    </row>
    <row r="21" spans="2:10" ht="12.75" hidden="1">
      <c r="B21" s="116" t="s">
        <v>103</v>
      </c>
      <c r="G21" s="121">
        <v>0</v>
      </c>
      <c r="J21" s="121"/>
    </row>
    <row r="22" spans="2:10" ht="12.75" hidden="1">
      <c r="B22" s="116" t="s">
        <v>22</v>
      </c>
      <c r="G22" s="121">
        <v>0</v>
      </c>
      <c r="J22" s="121"/>
    </row>
    <row r="23" spans="6:10" ht="13.5" customHeight="1">
      <c r="F23" s="118"/>
      <c r="G23" s="122"/>
      <c r="J23" s="121"/>
    </row>
    <row r="24" spans="1:7" ht="13.5" customHeight="1">
      <c r="A24" s="123" t="s">
        <v>40</v>
      </c>
      <c r="B24" s="123"/>
      <c r="C24" s="124"/>
      <c r="D24" s="125"/>
      <c r="E24" s="125"/>
      <c r="F24" s="126" t="s">
        <v>10</v>
      </c>
      <c r="G24" s="127">
        <f>(SellingPrice-G11)-SUM(G12:G22)</f>
        <v>4789464.29</v>
      </c>
    </row>
    <row r="25" spans="1:9" ht="12.75">
      <c r="A25" s="116" t="s">
        <v>24</v>
      </c>
      <c r="B25" s="116" t="s">
        <v>12</v>
      </c>
      <c r="G25" s="121">
        <f>ROUND(IF(ISERROR(FIND("PARKING",Model,1)),IF(G24&gt;3199200,G24*12%,0),G24*12%),2)</f>
        <v>574735.71</v>
      </c>
      <c r="I25" s="121"/>
    </row>
    <row r="26" spans="1:7" ht="12.75" hidden="1">
      <c r="A26" s="120">
        <v>7</v>
      </c>
      <c r="B26" s="116" t="s">
        <v>25</v>
      </c>
      <c r="G26" s="121">
        <f>ROUND(G24*(A26/100),2)</f>
        <v>335262.5</v>
      </c>
    </row>
    <row r="27" spans="1:7" ht="12.75" hidden="1">
      <c r="A27" s="120"/>
      <c r="B27" s="116" t="s">
        <v>26</v>
      </c>
      <c r="F27" s="120">
        <f>IF(G27&gt;50000,50000,G27)</f>
        <v>0</v>
      </c>
      <c r="G27" s="121">
        <v>0</v>
      </c>
    </row>
    <row r="28" spans="1:7" ht="12.75" hidden="1">
      <c r="A28" s="120"/>
      <c r="B28" s="116" t="s">
        <v>27</v>
      </c>
      <c r="G28" s="121">
        <v>0</v>
      </c>
    </row>
    <row r="29" spans="1:7" ht="13.5" customHeight="1">
      <c r="A29" s="120"/>
      <c r="B29" s="116" t="s">
        <v>25</v>
      </c>
      <c r="G29" s="121">
        <f>ROUND(SUM(G26,G28,F27),2)+60000</f>
        <v>395262.5</v>
      </c>
    </row>
    <row r="30" spans="1:7" ht="13.5" customHeight="1">
      <c r="A30" s="123" t="s">
        <v>28</v>
      </c>
      <c r="B30" s="123"/>
      <c r="C30" s="124"/>
      <c r="D30" s="125"/>
      <c r="E30" s="125"/>
      <c r="F30" s="126" t="s">
        <v>10</v>
      </c>
      <c r="G30" s="127">
        <f>G24+SUM(G25,G29)</f>
        <v>5759462.5</v>
      </c>
    </row>
    <row r="32" ht="12.75">
      <c r="A32" s="128" t="s">
        <v>41</v>
      </c>
    </row>
    <row r="33" spans="1:10" ht="12.75">
      <c r="A33" s="129">
        <v>15</v>
      </c>
      <c r="B33" s="116" t="str">
        <f>CONCATENATE("Downpayment ("&amp;A33&amp;"% of Selling Price)")</f>
        <v>Downpayment (15% of Selling Price)</v>
      </c>
      <c r="G33" s="121">
        <f>ROUND((G24+G25)*(A33/100),2)</f>
        <v>804630</v>
      </c>
      <c r="J33" s="121"/>
    </row>
    <row r="34" spans="1:10" ht="13.5" customHeight="1">
      <c r="A34" s="128"/>
      <c r="B34" s="116" t="s">
        <v>42</v>
      </c>
      <c r="G34" s="121">
        <f>ROUND(G29*(A33/100),2)</f>
        <v>59289.38</v>
      </c>
      <c r="J34" s="130"/>
    </row>
    <row r="35" spans="1:7" ht="13.5" customHeight="1">
      <c r="A35" s="123" t="s">
        <v>43</v>
      </c>
      <c r="B35" s="123"/>
      <c r="C35" s="124"/>
      <c r="D35" s="125"/>
      <c r="E35" s="125"/>
      <c r="F35" s="126" t="s">
        <v>10</v>
      </c>
      <c r="G35" s="127">
        <f>SUM(G33:G34)</f>
        <v>863919.38</v>
      </c>
    </row>
    <row r="36" spans="1:7" ht="13.5" customHeight="1">
      <c r="A36" s="116" t="s">
        <v>11</v>
      </c>
      <c r="B36" s="116" t="s">
        <v>29</v>
      </c>
      <c r="F36" s="131">
        <f ca="1">NOW()</f>
        <v>44211.77902361111</v>
      </c>
      <c r="G36" s="121">
        <v>20000</v>
      </c>
    </row>
    <row r="37" spans="1:7" ht="13.5" customHeight="1">
      <c r="A37" s="123" t="s">
        <v>44</v>
      </c>
      <c r="B37" s="123"/>
      <c r="C37" s="124"/>
      <c r="D37" s="125"/>
      <c r="E37" s="125"/>
      <c r="F37" s="126" t="s">
        <v>10</v>
      </c>
      <c r="G37" s="127">
        <f>G35-G36</f>
        <v>843919.38</v>
      </c>
    </row>
    <row r="38" ht="12.75">
      <c r="A38" s="120">
        <v>0</v>
      </c>
    </row>
    <row r="39" spans="1:7" ht="25.5" customHeight="1">
      <c r="A39" s="132">
        <v>36</v>
      </c>
      <c r="B39" s="178" t="s">
        <v>46</v>
      </c>
      <c r="C39" s="178"/>
      <c r="D39" s="133" t="s">
        <v>47</v>
      </c>
      <c r="E39" s="134" t="s">
        <v>48</v>
      </c>
      <c r="F39" s="135" t="s">
        <v>25</v>
      </c>
      <c r="G39" s="136" t="s">
        <v>49</v>
      </c>
    </row>
    <row r="40" spans="1:7" ht="12.75">
      <c r="A40" s="179" t="s">
        <v>50</v>
      </c>
      <c r="B40" s="179"/>
      <c r="C40" s="179"/>
      <c r="D40" s="137">
        <f>ReservationDate+19</f>
        <v>44230.77902361111</v>
      </c>
      <c r="E40" s="119">
        <f>ROUND((G35-G36-G34)/A39,2)</f>
        <v>21795.28</v>
      </c>
      <c r="F40" s="138">
        <f>ROUND(SUM(G34:G34)/A39,2)</f>
        <v>1646.93</v>
      </c>
      <c r="G40" s="121">
        <f>SUM(E40:F40)</f>
        <v>23442.21</v>
      </c>
    </row>
    <row r="41" spans="1:7" ht="12.75">
      <c r="A41" s="179" t="s">
        <v>51</v>
      </c>
      <c r="B41" s="179"/>
      <c r="C41" s="179"/>
      <c r="D41" s="137">
        <f>IF(AND(DAY(D40)&gt;2,DAY(D40)&lt;19),DATE(YEAR(D40+30),MONTH(D40+30),DAY(17)),DATE(YEAR(D40+30),MONTH(D40+30)+1,DAY(2)))</f>
        <v>44272</v>
      </c>
      <c r="E41" s="119">
        <f>IF($A$39&lt;VALUE(LEFT(A41,1))," ",IF($A$39=VALUE(LEFT(A41,1)),($G$35-$G$36-$G$34)-($E$40*($A$39-1)),E40))</f>
        <v>21795.28</v>
      </c>
      <c r="F41" s="138">
        <f>IF($A$39&lt;VALUE(LEFT(A41,1))," ",IF($A$39=VALUE(LEFT(A41,1)),$G$34-($F$40*($A$39-1)),F40))</f>
        <v>1646.93</v>
      </c>
      <c r="G41" s="121">
        <f>IF($A$39&lt;VALUE(LEFT(A41,1))," ",SUM(E41:F41))</f>
        <v>23442.21</v>
      </c>
    </row>
    <row r="42" spans="1:7" ht="12.75">
      <c r="A42" s="179" t="s">
        <v>52</v>
      </c>
      <c r="B42" s="179"/>
      <c r="C42" s="179"/>
      <c r="D42" s="137">
        <f>IF($A$39&lt;VALUE(LEFT(A42,1))," ",DATE(YEAR(D41+30),MONTH(D41+30),DAY(D41)))</f>
        <v>44303</v>
      </c>
      <c r="E42" s="119">
        <f aca="true" t="shared" si="0" ref="E42:E48">IF($A$39&lt;VALUE(LEFT(A42,1))," ",IF($A$39=VALUE(LEFT(A42,1)),($G$35-$G$36-$G$34)-($E$40*($A$39-1)),E41))</f>
        <v>21795.28</v>
      </c>
      <c r="F42" s="138">
        <f aca="true" t="shared" si="1" ref="F42:F48">IF($A$39&lt;VALUE(LEFT(A42,1))," ",IF($A$39=VALUE(LEFT(A42,1)),$G$34-($F$40*($A$39-1)),F41))</f>
        <v>1646.93</v>
      </c>
      <c r="G42" s="121">
        <f aca="true" t="shared" si="2" ref="G42:G48">IF($A$39&lt;VALUE(LEFT(A42,1))," ",SUM(E42:F42))</f>
        <v>23442.21</v>
      </c>
    </row>
    <row r="43" spans="1:7" ht="12.75">
      <c r="A43" s="179" t="s">
        <v>53</v>
      </c>
      <c r="B43" s="179"/>
      <c r="C43" s="179"/>
      <c r="D43" s="137">
        <f aca="true" t="shared" si="3" ref="D43:D48">IF($A$39&lt;VALUE(LEFT(A43,1))," ",DATE(YEAR(D42+30),MONTH(D42+30),DAY(D42)))</f>
        <v>44333</v>
      </c>
      <c r="E43" s="119">
        <f t="shared" si="0"/>
        <v>21795.28</v>
      </c>
      <c r="F43" s="138">
        <f t="shared" si="1"/>
        <v>1646.93</v>
      </c>
      <c r="G43" s="121">
        <f t="shared" si="2"/>
        <v>23442.21</v>
      </c>
    </row>
    <row r="44" spans="1:7" ht="12.75">
      <c r="A44" s="179" t="s">
        <v>54</v>
      </c>
      <c r="B44" s="179"/>
      <c r="C44" s="179"/>
      <c r="D44" s="137">
        <f t="shared" si="3"/>
        <v>44364</v>
      </c>
      <c r="E44" s="119">
        <f t="shared" si="0"/>
        <v>21795.28</v>
      </c>
      <c r="F44" s="138">
        <f t="shared" si="1"/>
        <v>1646.93</v>
      </c>
      <c r="G44" s="121">
        <f t="shared" si="2"/>
        <v>23442.21</v>
      </c>
    </row>
    <row r="45" spans="1:7" ht="12.75">
      <c r="A45" s="179" t="s">
        <v>55</v>
      </c>
      <c r="B45" s="179"/>
      <c r="C45" s="179"/>
      <c r="D45" s="137">
        <f t="shared" si="3"/>
        <v>44394</v>
      </c>
      <c r="E45" s="119">
        <f t="shared" si="0"/>
        <v>21795.28</v>
      </c>
      <c r="F45" s="138">
        <f t="shared" si="1"/>
        <v>1646.93</v>
      </c>
      <c r="G45" s="121">
        <f t="shared" si="2"/>
        <v>23442.21</v>
      </c>
    </row>
    <row r="46" spans="1:7" ht="12.75">
      <c r="A46" s="179" t="s">
        <v>56</v>
      </c>
      <c r="B46" s="179"/>
      <c r="C46" s="179"/>
      <c r="D46" s="137">
        <f t="shared" si="3"/>
        <v>44425</v>
      </c>
      <c r="E46" s="119">
        <f t="shared" si="0"/>
        <v>21795.28</v>
      </c>
      <c r="F46" s="138">
        <f t="shared" si="1"/>
        <v>1646.93</v>
      </c>
      <c r="G46" s="121">
        <f t="shared" si="2"/>
        <v>23442.21</v>
      </c>
    </row>
    <row r="47" spans="1:7" ht="12.75">
      <c r="A47" s="179" t="s">
        <v>57</v>
      </c>
      <c r="B47" s="179"/>
      <c r="C47" s="179"/>
      <c r="D47" s="137">
        <f t="shared" si="3"/>
        <v>44456</v>
      </c>
      <c r="E47" s="119">
        <f t="shared" si="0"/>
        <v>21795.28</v>
      </c>
      <c r="F47" s="138">
        <f t="shared" si="1"/>
        <v>1646.93</v>
      </c>
      <c r="G47" s="121">
        <f t="shared" si="2"/>
        <v>23442.21</v>
      </c>
    </row>
    <row r="48" spans="1:7" ht="12.75">
      <c r="A48" s="179" t="s">
        <v>58</v>
      </c>
      <c r="B48" s="179"/>
      <c r="C48" s="179"/>
      <c r="D48" s="137">
        <f t="shared" si="3"/>
        <v>44486</v>
      </c>
      <c r="E48" s="119">
        <f t="shared" si="0"/>
        <v>21795.28</v>
      </c>
      <c r="F48" s="138">
        <f t="shared" si="1"/>
        <v>1646.93</v>
      </c>
      <c r="G48" s="121">
        <f t="shared" si="2"/>
        <v>23442.21</v>
      </c>
    </row>
    <row r="49" spans="1:7" ht="12.75">
      <c r="A49" s="179" t="s">
        <v>59</v>
      </c>
      <c r="B49" s="179"/>
      <c r="C49" s="179"/>
      <c r="D49" s="137">
        <f>IF($A$39&lt;VALUE(LEFT(A49,2))," ",DATE(YEAR(D48+30),MONTH(D48+30),DAY(D48)))</f>
        <v>44517</v>
      </c>
      <c r="E49" s="119">
        <f>IF($A$39&lt;VALUE(LEFT(A49,2))," ",IF($A$39=VALUE(LEFT(A49,2)),($G$35-$G$36-$G$34)-($E$40*($A$39-1)),E48))</f>
        <v>21795.28</v>
      </c>
      <c r="F49" s="138">
        <f>IF($A$39&lt;VALUE(LEFT(A49,2))," ",IF($A$39=VALUE(LEFT(A49,2)),$G$34-($F$40*($A$39-1)),F48))</f>
        <v>1646.93</v>
      </c>
      <c r="G49" s="121">
        <f>IF($A$39&lt;VALUE(LEFT(A49,2))," ",SUM(E49:F49))</f>
        <v>23442.21</v>
      </c>
    </row>
    <row r="50" spans="1:7" ht="12.75">
      <c r="A50" s="179" t="s">
        <v>60</v>
      </c>
      <c r="B50" s="179"/>
      <c r="C50" s="179"/>
      <c r="D50" s="137">
        <f aca="true" t="shared" si="4" ref="D50:D75">IF($A$39&lt;VALUE(LEFT(A50,2))," ",DATE(YEAR(D49+30),MONTH(D49+30),DAY(D49)))</f>
        <v>44547</v>
      </c>
      <c r="E50" s="119">
        <f aca="true" t="shared" si="5" ref="E50:E75">IF($A$39&lt;VALUE(LEFT(A50,2))," ",IF($A$39=VALUE(LEFT(A50,2)),($G$35-$G$36-$G$34)-($E$40*($A$39-1)),E49))</f>
        <v>21795.28</v>
      </c>
      <c r="F50" s="138">
        <f aca="true" t="shared" si="6" ref="F50:F75">IF($A$39&lt;VALUE(LEFT(A50,2))," ",IF($A$39=VALUE(LEFT(A50,2)),$G$34-($F$40*($A$39-1)),F49))</f>
        <v>1646.93</v>
      </c>
      <c r="G50" s="121">
        <f aca="true" t="shared" si="7" ref="G50:G75">IF($A$39&lt;VALUE(LEFT(A50,2))," ",SUM(E50:F50))</f>
        <v>23442.21</v>
      </c>
    </row>
    <row r="51" spans="1:7" ht="12.75">
      <c r="A51" s="179" t="s">
        <v>61</v>
      </c>
      <c r="B51" s="179"/>
      <c r="C51" s="179"/>
      <c r="D51" s="137">
        <f t="shared" si="4"/>
        <v>44578</v>
      </c>
      <c r="E51" s="119">
        <f t="shared" si="5"/>
        <v>21795.28</v>
      </c>
      <c r="F51" s="138">
        <f t="shared" si="6"/>
        <v>1646.93</v>
      </c>
      <c r="G51" s="121">
        <f t="shared" si="7"/>
        <v>23442.21</v>
      </c>
    </row>
    <row r="52" spans="1:7" ht="12.75">
      <c r="A52" s="179" t="s">
        <v>62</v>
      </c>
      <c r="B52" s="179"/>
      <c r="C52" s="179"/>
      <c r="D52" s="137">
        <f t="shared" si="4"/>
        <v>44609</v>
      </c>
      <c r="E52" s="119">
        <f t="shared" si="5"/>
        <v>21795.28</v>
      </c>
      <c r="F52" s="138">
        <f t="shared" si="6"/>
        <v>1646.93</v>
      </c>
      <c r="G52" s="121">
        <f t="shared" si="7"/>
        <v>23442.21</v>
      </c>
    </row>
    <row r="53" spans="1:7" ht="12.75">
      <c r="A53" s="179" t="s">
        <v>63</v>
      </c>
      <c r="B53" s="179"/>
      <c r="C53" s="179"/>
      <c r="D53" s="137">
        <f t="shared" si="4"/>
        <v>44637</v>
      </c>
      <c r="E53" s="119">
        <f t="shared" si="5"/>
        <v>21795.28</v>
      </c>
      <c r="F53" s="138">
        <f t="shared" si="6"/>
        <v>1646.93</v>
      </c>
      <c r="G53" s="121">
        <f t="shared" si="7"/>
        <v>23442.21</v>
      </c>
    </row>
    <row r="54" spans="1:7" ht="12.75">
      <c r="A54" s="179" t="s">
        <v>64</v>
      </c>
      <c r="B54" s="179"/>
      <c r="C54" s="179"/>
      <c r="D54" s="137">
        <f t="shared" si="4"/>
        <v>44668</v>
      </c>
      <c r="E54" s="119">
        <f t="shared" si="5"/>
        <v>21795.28</v>
      </c>
      <c r="F54" s="138">
        <f t="shared" si="6"/>
        <v>1646.93</v>
      </c>
      <c r="G54" s="121">
        <f t="shared" si="7"/>
        <v>23442.21</v>
      </c>
    </row>
    <row r="55" spans="1:7" ht="12.75">
      <c r="A55" s="179" t="s">
        <v>65</v>
      </c>
      <c r="B55" s="179"/>
      <c r="C55" s="179"/>
      <c r="D55" s="137">
        <f t="shared" si="4"/>
        <v>44698</v>
      </c>
      <c r="E55" s="119">
        <f t="shared" si="5"/>
        <v>21795.28</v>
      </c>
      <c r="F55" s="138">
        <f t="shared" si="6"/>
        <v>1646.93</v>
      </c>
      <c r="G55" s="121">
        <f t="shared" si="7"/>
        <v>23442.21</v>
      </c>
    </row>
    <row r="56" spans="1:7" ht="12.75">
      <c r="A56" s="179" t="s">
        <v>66</v>
      </c>
      <c r="B56" s="179"/>
      <c r="C56" s="179"/>
      <c r="D56" s="137">
        <f t="shared" si="4"/>
        <v>44729</v>
      </c>
      <c r="E56" s="119">
        <f t="shared" si="5"/>
        <v>21795.28</v>
      </c>
      <c r="F56" s="138">
        <f t="shared" si="6"/>
        <v>1646.93</v>
      </c>
      <c r="G56" s="121">
        <f t="shared" si="7"/>
        <v>23442.21</v>
      </c>
    </row>
    <row r="57" spans="1:7" ht="12.75">
      <c r="A57" s="179" t="s">
        <v>67</v>
      </c>
      <c r="B57" s="179"/>
      <c r="C57" s="179"/>
      <c r="D57" s="137">
        <f t="shared" si="4"/>
        <v>44759</v>
      </c>
      <c r="E57" s="119">
        <f t="shared" si="5"/>
        <v>21795.28</v>
      </c>
      <c r="F57" s="138">
        <f t="shared" si="6"/>
        <v>1646.93</v>
      </c>
      <c r="G57" s="121">
        <f t="shared" si="7"/>
        <v>23442.21</v>
      </c>
    </row>
    <row r="58" spans="1:7" ht="12.75">
      <c r="A58" s="179" t="s">
        <v>68</v>
      </c>
      <c r="B58" s="179"/>
      <c r="C58" s="179"/>
      <c r="D58" s="137">
        <f t="shared" si="4"/>
        <v>44790</v>
      </c>
      <c r="E58" s="119">
        <f t="shared" si="5"/>
        <v>21795.28</v>
      </c>
      <c r="F58" s="138">
        <f t="shared" si="6"/>
        <v>1646.93</v>
      </c>
      <c r="G58" s="121">
        <f t="shared" si="7"/>
        <v>23442.21</v>
      </c>
    </row>
    <row r="59" spans="1:7" ht="12.75">
      <c r="A59" s="179" t="s">
        <v>69</v>
      </c>
      <c r="B59" s="179"/>
      <c r="C59" s="179"/>
      <c r="D59" s="137">
        <f t="shared" si="4"/>
        <v>44821</v>
      </c>
      <c r="E59" s="119">
        <f t="shared" si="5"/>
        <v>21795.28</v>
      </c>
      <c r="F59" s="138">
        <f t="shared" si="6"/>
        <v>1646.93</v>
      </c>
      <c r="G59" s="121">
        <f t="shared" si="7"/>
        <v>23442.21</v>
      </c>
    </row>
    <row r="60" spans="1:7" ht="12.75">
      <c r="A60" s="179" t="s">
        <v>70</v>
      </c>
      <c r="B60" s="179"/>
      <c r="C60" s="179"/>
      <c r="D60" s="137">
        <f t="shared" si="4"/>
        <v>44851</v>
      </c>
      <c r="E60" s="119">
        <f t="shared" si="5"/>
        <v>21795.28</v>
      </c>
      <c r="F60" s="138">
        <f t="shared" si="6"/>
        <v>1646.93</v>
      </c>
      <c r="G60" s="121">
        <f t="shared" si="7"/>
        <v>23442.21</v>
      </c>
    </row>
    <row r="61" spans="1:7" ht="12.75">
      <c r="A61" s="179" t="s">
        <v>71</v>
      </c>
      <c r="B61" s="179"/>
      <c r="C61" s="179"/>
      <c r="D61" s="137">
        <f t="shared" si="4"/>
        <v>44882</v>
      </c>
      <c r="E61" s="119">
        <f t="shared" si="5"/>
        <v>21795.28</v>
      </c>
      <c r="F61" s="138">
        <f t="shared" si="6"/>
        <v>1646.93</v>
      </c>
      <c r="G61" s="121">
        <f t="shared" si="7"/>
        <v>23442.21</v>
      </c>
    </row>
    <row r="62" spans="1:7" ht="12.75">
      <c r="A62" s="179" t="s">
        <v>72</v>
      </c>
      <c r="B62" s="179"/>
      <c r="C62" s="179"/>
      <c r="D62" s="137">
        <f t="shared" si="4"/>
        <v>44912</v>
      </c>
      <c r="E62" s="119">
        <f t="shared" si="5"/>
        <v>21795.28</v>
      </c>
      <c r="F62" s="138">
        <f t="shared" si="6"/>
        <v>1646.93</v>
      </c>
      <c r="G62" s="121">
        <f t="shared" si="7"/>
        <v>23442.21</v>
      </c>
    </row>
    <row r="63" spans="1:7" ht="12.75">
      <c r="A63" s="179" t="s">
        <v>73</v>
      </c>
      <c r="B63" s="179"/>
      <c r="C63" s="179"/>
      <c r="D63" s="137">
        <f t="shared" si="4"/>
        <v>44943</v>
      </c>
      <c r="E63" s="119">
        <f t="shared" si="5"/>
        <v>21795.28</v>
      </c>
      <c r="F63" s="138">
        <f t="shared" si="6"/>
        <v>1646.93</v>
      </c>
      <c r="G63" s="121">
        <f t="shared" si="7"/>
        <v>23442.21</v>
      </c>
    </row>
    <row r="64" spans="1:7" ht="12.75">
      <c r="A64" s="179" t="s">
        <v>74</v>
      </c>
      <c r="B64" s="179"/>
      <c r="C64" s="179"/>
      <c r="D64" s="137">
        <f t="shared" si="4"/>
        <v>44974</v>
      </c>
      <c r="E64" s="119">
        <f t="shared" si="5"/>
        <v>21795.28</v>
      </c>
      <c r="F64" s="138">
        <f t="shared" si="6"/>
        <v>1646.93</v>
      </c>
      <c r="G64" s="121">
        <f t="shared" si="7"/>
        <v>23442.21</v>
      </c>
    </row>
    <row r="65" spans="1:7" ht="12.75">
      <c r="A65" s="179" t="s">
        <v>75</v>
      </c>
      <c r="B65" s="179"/>
      <c r="C65" s="179"/>
      <c r="D65" s="137">
        <f t="shared" si="4"/>
        <v>45002</v>
      </c>
      <c r="E65" s="119">
        <f t="shared" si="5"/>
        <v>21795.28</v>
      </c>
      <c r="F65" s="138">
        <f t="shared" si="6"/>
        <v>1646.93</v>
      </c>
      <c r="G65" s="121">
        <f t="shared" si="7"/>
        <v>23442.21</v>
      </c>
    </row>
    <row r="66" spans="1:7" ht="12.75">
      <c r="A66" s="179" t="s">
        <v>76</v>
      </c>
      <c r="B66" s="179"/>
      <c r="C66" s="179"/>
      <c r="D66" s="137">
        <f t="shared" si="4"/>
        <v>45033</v>
      </c>
      <c r="E66" s="119">
        <f t="shared" si="5"/>
        <v>21795.28</v>
      </c>
      <c r="F66" s="138">
        <f t="shared" si="6"/>
        <v>1646.93</v>
      </c>
      <c r="G66" s="121">
        <f t="shared" si="7"/>
        <v>23442.21</v>
      </c>
    </row>
    <row r="67" spans="1:7" ht="12.75">
      <c r="A67" s="179" t="s">
        <v>77</v>
      </c>
      <c r="B67" s="179"/>
      <c r="C67" s="179"/>
      <c r="D67" s="137">
        <f t="shared" si="4"/>
        <v>45063</v>
      </c>
      <c r="E67" s="119">
        <f t="shared" si="5"/>
        <v>21795.28</v>
      </c>
      <c r="F67" s="138">
        <f t="shared" si="6"/>
        <v>1646.93</v>
      </c>
      <c r="G67" s="121">
        <f t="shared" si="7"/>
        <v>23442.21</v>
      </c>
    </row>
    <row r="68" spans="1:7" ht="12.75">
      <c r="A68" s="179" t="s">
        <v>78</v>
      </c>
      <c r="B68" s="179"/>
      <c r="C68" s="179"/>
      <c r="D68" s="137">
        <f t="shared" si="4"/>
        <v>45094</v>
      </c>
      <c r="E68" s="119">
        <f t="shared" si="5"/>
        <v>21795.28</v>
      </c>
      <c r="F68" s="138">
        <f t="shared" si="6"/>
        <v>1646.93</v>
      </c>
      <c r="G68" s="121">
        <f t="shared" si="7"/>
        <v>23442.21</v>
      </c>
    </row>
    <row r="69" spans="1:7" ht="12.75">
      <c r="A69" s="179" t="s">
        <v>79</v>
      </c>
      <c r="B69" s="179"/>
      <c r="C69" s="179"/>
      <c r="D69" s="137">
        <f t="shared" si="4"/>
        <v>45124</v>
      </c>
      <c r="E69" s="119">
        <f t="shared" si="5"/>
        <v>21795.28</v>
      </c>
      <c r="F69" s="138">
        <f t="shared" si="6"/>
        <v>1646.93</v>
      </c>
      <c r="G69" s="121">
        <f t="shared" si="7"/>
        <v>23442.21</v>
      </c>
    </row>
    <row r="70" spans="1:7" ht="12.75">
      <c r="A70" s="179" t="s">
        <v>80</v>
      </c>
      <c r="B70" s="179"/>
      <c r="C70" s="179"/>
      <c r="D70" s="137">
        <f t="shared" si="4"/>
        <v>45155</v>
      </c>
      <c r="E70" s="119">
        <f t="shared" si="5"/>
        <v>21795.28</v>
      </c>
      <c r="F70" s="138">
        <f t="shared" si="6"/>
        <v>1646.93</v>
      </c>
      <c r="G70" s="121">
        <f t="shared" si="7"/>
        <v>23442.21</v>
      </c>
    </row>
    <row r="71" spans="1:7" ht="12.75">
      <c r="A71" s="179" t="s">
        <v>81</v>
      </c>
      <c r="B71" s="179"/>
      <c r="C71" s="179"/>
      <c r="D71" s="137">
        <f t="shared" si="4"/>
        <v>45186</v>
      </c>
      <c r="E71" s="119">
        <f t="shared" si="5"/>
        <v>21795.28</v>
      </c>
      <c r="F71" s="138">
        <f t="shared" si="6"/>
        <v>1646.93</v>
      </c>
      <c r="G71" s="121">
        <f t="shared" si="7"/>
        <v>23442.21</v>
      </c>
    </row>
    <row r="72" spans="1:7" ht="12.75">
      <c r="A72" s="179" t="s">
        <v>82</v>
      </c>
      <c r="B72" s="179"/>
      <c r="C72" s="179"/>
      <c r="D72" s="137">
        <f t="shared" si="4"/>
        <v>45216</v>
      </c>
      <c r="E72" s="119">
        <f t="shared" si="5"/>
        <v>21795.28</v>
      </c>
      <c r="F72" s="138">
        <f t="shared" si="6"/>
        <v>1646.93</v>
      </c>
      <c r="G72" s="121">
        <f t="shared" si="7"/>
        <v>23442.21</v>
      </c>
    </row>
    <row r="73" spans="1:7" ht="12.75">
      <c r="A73" s="179" t="s">
        <v>83</v>
      </c>
      <c r="B73" s="179"/>
      <c r="C73" s="179"/>
      <c r="D73" s="137">
        <f t="shared" si="4"/>
        <v>45247</v>
      </c>
      <c r="E73" s="119">
        <f t="shared" si="5"/>
        <v>21795.28</v>
      </c>
      <c r="F73" s="138">
        <f t="shared" si="6"/>
        <v>1646.93</v>
      </c>
      <c r="G73" s="121">
        <f t="shared" si="7"/>
        <v>23442.21</v>
      </c>
    </row>
    <row r="74" spans="1:7" ht="12.75">
      <c r="A74" s="179" t="s">
        <v>84</v>
      </c>
      <c r="B74" s="179"/>
      <c r="C74" s="179"/>
      <c r="D74" s="137">
        <f t="shared" si="4"/>
        <v>45277</v>
      </c>
      <c r="E74" s="119">
        <f t="shared" si="5"/>
        <v>21795.28</v>
      </c>
      <c r="F74" s="138">
        <f t="shared" si="6"/>
        <v>1646.93</v>
      </c>
      <c r="G74" s="121">
        <f t="shared" si="7"/>
        <v>23442.21</v>
      </c>
    </row>
    <row r="75" spans="1:7" ht="12.75">
      <c r="A75" s="179" t="s">
        <v>85</v>
      </c>
      <c r="B75" s="179"/>
      <c r="C75" s="179"/>
      <c r="D75" s="137">
        <f t="shared" si="4"/>
        <v>45308</v>
      </c>
      <c r="E75" s="119">
        <f t="shared" si="5"/>
        <v>21795.20000000007</v>
      </c>
      <c r="F75" s="138">
        <f t="shared" si="6"/>
        <v>1646.8299999999945</v>
      </c>
      <c r="G75" s="121">
        <f t="shared" si="7"/>
        <v>23442.030000000064</v>
      </c>
    </row>
    <row r="76" spans="2:7" ht="12.75">
      <c r="B76" s="139"/>
      <c r="E76" s="140"/>
      <c r="F76" s="131"/>
      <c r="G76" s="141"/>
    </row>
    <row r="77" ht="12.75">
      <c r="A77" s="128" t="s">
        <v>86</v>
      </c>
    </row>
    <row r="78" spans="2:6" ht="12.75">
      <c r="B78" s="116" t="s">
        <v>87</v>
      </c>
      <c r="F78" s="142">
        <f>D70</f>
        <v>45155</v>
      </c>
    </row>
    <row r="79" spans="2:9" ht="12.75">
      <c r="B79" s="116" t="s">
        <v>88</v>
      </c>
      <c r="F79" s="142">
        <f>D75+30</f>
        <v>45338</v>
      </c>
      <c r="G79" s="143">
        <f>ROUND(((G24+G25)*((100-A33)/100))+(G29*(100-A33)/100),2)</f>
        <v>4895543.13</v>
      </c>
      <c r="I79" s="121"/>
    </row>
    <row r="80" ht="12.75">
      <c r="B80" s="116" t="s">
        <v>89</v>
      </c>
    </row>
    <row r="82" spans="1:4" ht="12.75">
      <c r="A82" s="144" t="s">
        <v>31</v>
      </c>
      <c r="B82" s="145"/>
      <c r="C82" s="145"/>
      <c r="D82" s="145"/>
    </row>
    <row r="83" spans="1:7" ht="12.75">
      <c r="A83" s="180" t="s">
        <v>94</v>
      </c>
      <c r="B83" s="180"/>
      <c r="C83" s="180"/>
      <c r="D83" s="180"/>
      <c r="E83" s="180"/>
      <c r="F83" s="180"/>
      <c r="G83" s="180"/>
    </row>
    <row r="84" spans="1:4" ht="12.75">
      <c r="A84" s="145" t="s">
        <v>32</v>
      </c>
      <c r="B84" s="145"/>
      <c r="C84" s="145"/>
      <c r="D84" s="145"/>
    </row>
    <row r="85" spans="1:4" ht="12.75">
      <c r="A85" s="145" t="s">
        <v>33</v>
      </c>
      <c r="B85" s="145"/>
      <c r="C85" s="145"/>
      <c r="D85" s="145"/>
    </row>
    <row r="86" spans="1:4" ht="12.75">
      <c r="A86" s="145" t="s">
        <v>34</v>
      </c>
      <c r="B86" s="145"/>
      <c r="C86" s="145"/>
      <c r="D86" s="145"/>
    </row>
    <row r="87" spans="1:4" ht="12.75">
      <c r="A87" s="146" t="s">
        <v>35</v>
      </c>
      <c r="B87" s="145"/>
      <c r="C87" s="145"/>
      <c r="D87" s="145"/>
    </row>
    <row r="88" spans="1:4" ht="12.75">
      <c r="A88" s="146" t="s">
        <v>36</v>
      </c>
      <c r="B88" s="145"/>
      <c r="C88" s="145"/>
      <c r="D88" s="145"/>
    </row>
    <row r="89" spans="1:4" ht="12.75">
      <c r="A89" s="146" t="s">
        <v>37</v>
      </c>
      <c r="B89" s="145"/>
      <c r="C89" s="145"/>
      <c r="D89" s="145"/>
    </row>
    <row r="90" spans="1:4" ht="12.75">
      <c r="A90" s="146" t="s">
        <v>38</v>
      </c>
      <c r="B90" s="145"/>
      <c r="C90" s="145"/>
      <c r="D90" s="145"/>
    </row>
    <row r="91" spans="1:4" ht="12.75">
      <c r="A91" s="146" t="s">
        <v>39</v>
      </c>
      <c r="B91" s="145"/>
      <c r="C91" s="145"/>
      <c r="D91" s="145"/>
    </row>
    <row r="92" spans="1:7" ht="12.75">
      <c r="A92" s="180" t="s">
        <v>104</v>
      </c>
      <c r="B92" s="180"/>
      <c r="C92" s="180"/>
      <c r="D92" s="180"/>
      <c r="E92" s="180"/>
      <c r="F92" s="180"/>
      <c r="G92" s="180"/>
    </row>
  </sheetData>
  <sheetProtection/>
  <mergeCells count="44">
    <mergeCell ref="B1:F1"/>
    <mergeCell ref="B2:F2"/>
    <mergeCell ref="A3:G3"/>
    <mergeCell ref="F6:G6"/>
    <mergeCell ref="F7:G7"/>
    <mergeCell ref="B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83:G83"/>
    <mergeCell ref="A92:G92"/>
    <mergeCell ref="A70:C70"/>
    <mergeCell ref="A71:C71"/>
    <mergeCell ref="A72:C72"/>
    <mergeCell ref="A73:C73"/>
    <mergeCell ref="A74:C74"/>
    <mergeCell ref="A75:C75"/>
  </mergeCells>
  <conditionalFormatting sqref="B11 B25">
    <cfRule type="expression" priority="5" dxfId="40" stopIfTrue="1">
      <formula>G11=0</formula>
    </cfRule>
  </conditionalFormatting>
  <conditionalFormatting sqref="A41:C48">
    <cfRule type="expression" priority="4" dxfId="40" stopIfTrue="1">
      <formula>VALUE(NoDPSchedule)&lt;VALUE(LEFT(A41,1))</formula>
    </cfRule>
  </conditionalFormatting>
  <conditionalFormatting sqref="A49:C75">
    <cfRule type="expression" priority="3" dxfId="40" stopIfTrue="1">
      <formula>VALUE(NoDPSchedule)&lt;VALUE(LEFT(A49,2))</formula>
    </cfRule>
  </conditionalFormatting>
  <conditionalFormatting sqref="G11 G25">
    <cfRule type="expression" priority="2" dxfId="40" stopIfTrue="1">
      <formula>G11=0</formula>
    </cfRule>
  </conditionalFormatting>
  <conditionalFormatting sqref="D4">
    <cfRule type="expression" priority="1" dxfId="41" stopIfTrue="1">
      <formula>G5&lt;=TODAY()</formula>
    </cfRule>
  </conditionalFormatting>
  <printOptions horizontalCentered="1"/>
  <pageMargins left="0.25" right="0.25" top="0.5" bottom="0.5" header="0.5" footer="0.5"/>
  <pageSetup fitToHeight="1" fitToWidth="1" horizontalDpi="300" verticalDpi="300" orientation="portrait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zoomScalePageLayoutView="0" workbookViewId="0" topLeftCell="A7">
      <selection activeCell="A40" sqref="A40:C40"/>
    </sheetView>
  </sheetViews>
  <sheetFormatPr defaultColWidth="12.375" defaultRowHeight="12.75" customHeight="1"/>
  <cols>
    <col min="1" max="4" width="12.375" style="76" customWidth="1"/>
    <col min="5" max="6" width="14.625" style="76" customWidth="1"/>
    <col min="7" max="7" width="26.375" style="76" customWidth="1"/>
    <col min="8" max="9" width="15.00390625" style="76" customWidth="1"/>
    <col min="10" max="10" width="14.125" style="76" customWidth="1"/>
    <col min="11" max="16384" width="12.375" style="76" customWidth="1"/>
  </cols>
  <sheetData>
    <row r="1" spans="1:7" ht="14.25" customHeight="1" thickTop="1">
      <c r="A1" s="74"/>
      <c r="B1" s="184" t="s">
        <v>1</v>
      </c>
      <c r="C1" s="184"/>
      <c r="D1" s="184"/>
      <c r="E1" s="184"/>
      <c r="F1" s="184"/>
      <c r="G1" s="75"/>
    </row>
    <row r="2" spans="1:7" ht="14.25" customHeight="1">
      <c r="A2" s="77"/>
      <c r="B2" s="185" t="s">
        <v>2</v>
      </c>
      <c r="C2" s="185"/>
      <c r="D2" s="185"/>
      <c r="E2" s="185"/>
      <c r="F2" s="185"/>
      <c r="G2" s="78"/>
    </row>
    <row r="3" spans="1:7" ht="30" customHeight="1">
      <c r="A3" s="186" t="s">
        <v>90</v>
      </c>
      <c r="B3" s="187"/>
      <c r="C3" s="187"/>
      <c r="D3" s="187"/>
      <c r="E3" s="187"/>
      <c r="F3" s="187"/>
      <c r="G3" s="188"/>
    </row>
    <row r="4" spans="1:7" ht="13.5" customHeight="1" thickBot="1">
      <c r="A4" s="79">
        <f>IF(A39&lt;=12,12,A39)</f>
        <v>12</v>
      </c>
      <c r="B4" s="80"/>
      <c r="C4" s="80"/>
      <c r="D4" s="81" t="str">
        <f>IF(A39&gt;G5,"TERM IS SUBJECT FOR APPROVAL","SAMPLE COMPUTATION ONLY")</f>
        <v>SAMPLE COMPUTATION ONLY</v>
      </c>
      <c r="E4" s="80"/>
      <c r="F4" s="80"/>
      <c r="G4" s="82"/>
    </row>
    <row r="5" ht="13.5" customHeight="1" thickTop="1">
      <c r="G5" s="83">
        <v>24</v>
      </c>
    </row>
    <row r="6" spans="1:7" ht="12.75">
      <c r="A6" s="67" t="s">
        <v>3</v>
      </c>
      <c r="B6" s="67" t="s">
        <v>4</v>
      </c>
      <c r="C6" s="67" t="s">
        <v>5</v>
      </c>
      <c r="D6" s="67" t="s">
        <v>6</v>
      </c>
      <c r="E6" s="67"/>
      <c r="F6" s="169" t="s">
        <v>7</v>
      </c>
      <c r="G6" s="169"/>
    </row>
    <row r="7" spans="1:7" ht="12.75">
      <c r="A7" s="68">
        <v>2</v>
      </c>
      <c r="B7" s="68">
        <v>1116</v>
      </c>
      <c r="C7" s="68">
        <v>11</v>
      </c>
      <c r="D7" s="68">
        <v>22.8</v>
      </c>
      <c r="E7" s="68"/>
      <c r="F7" s="164" t="s">
        <v>8</v>
      </c>
      <c r="G7" s="164"/>
    </row>
    <row r="8" spans="1:7" ht="12.75" customHeight="1">
      <c r="A8" s="65"/>
      <c r="B8" s="65"/>
      <c r="C8" s="65"/>
      <c r="D8" s="65"/>
      <c r="E8" s="65"/>
      <c r="F8" s="65"/>
      <c r="G8" s="65"/>
    </row>
    <row r="9" spans="1:7" ht="12.75" customHeight="1">
      <c r="A9" s="65"/>
      <c r="B9" s="65"/>
      <c r="C9" s="65"/>
      <c r="D9" s="65"/>
      <c r="E9" s="65"/>
      <c r="F9" s="65"/>
      <c r="G9" s="65"/>
    </row>
    <row r="10" spans="1:7" ht="12.75">
      <c r="A10" s="69" t="s">
        <v>9</v>
      </c>
      <c r="B10" s="69"/>
      <c r="C10" s="70"/>
      <c r="D10" s="71"/>
      <c r="E10" s="71"/>
      <c r="F10" s="72" t="s">
        <v>10</v>
      </c>
      <c r="G10" s="73">
        <v>5117000</v>
      </c>
    </row>
    <row r="11" spans="1:7" ht="12.75">
      <c r="A11" s="76" t="s">
        <v>11</v>
      </c>
      <c r="B11" s="76" t="s">
        <v>12</v>
      </c>
      <c r="C11" s="87"/>
      <c r="F11" s="88"/>
      <c r="G11" s="89">
        <f>ROUND(IF(ISERROR(FIND("PARKING",Model,1)),IF(SellingPrice&gt;3199200,(G10-(G10/1.12)),0),(G10-(G10/1.12))),2)</f>
        <v>548250</v>
      </c>
    </row>
    <row r="12" spans="1:10" ht="12.75">
      <c r="A12" s="90">
        <v>25</v>
      </c>
      <c r="B12" s="76" t="str">
        <f>CONCATENATE(A12,"% Discount on ",A33,"% SFDP")</f>
        <v>25% Discount on 20% SFDP</v>
      </c>
      <c r="F12" s="88"/>
      <c r="G12" s="91">
        <v>0</v>
      </c>
      <c r="I12" s="91"/>
      <c r="J12" s="91"/>
    </row>
    <row r="13" spans="2:10" ht="12.75">
      <c r="B13" s="76" t="s">
        <v>13</v>
      </c>
      <c r="G13" s="91">
        <v>0</v>
      </c>
      <c r="I13" s="91"/>
      <c r="J13" s="91"/>
    </row>
    <row r="14" spans="2:10" ht="12.75">
      <c r="B14" s="76" t="s">
        <v>14</v>
      </c>
      <c r="G14" s="91">
        <v>0</v>
      </c>
      <c r="I14" s="91"/>
      <c r="J14" s="91"/>
    </row>
    <row r="15" spans="2:9" ht="12.75">
      <c r="B15" s="76" t="s">
        <v>15</v>
      </c>
      <c r="G15" s="91">
        <v>0</v>
      </c>
      <c r="I15" s="91"/>
    </row>
    <row r="16" spans="2:9" ht="12.75">
      <c r="B16" s="76" t="s">
        <v>16</v>
      </c>
      <c r="G16" s="91">
        <v>0</v>
      </c>
      <c r="I16" s="91"/>
    </row>
    <row r="17" spans="2:9" ht="12.75">
      <c r="B17" s="76" t="s">
        <v>17</v>
      </c>
      <c r="G17" s="91">
        <v>0</v>
      </c>
      <c r="I17" s="91"/>
    </row>
    <row r="18" spans="2:10" ht="12.75">
      <c r="B18" s="76" t="s">
        <v>18</v>
      </c>
      <c r="G18" s="91">
        <v>0</v>
      </c>
      <c r="H18" s="91"/>
      <c r="I18" s="91"/>
      <c r="J18" s="91"/>
    </row>
    <row r="19" spans="2:10" ht="12.75">
      <c r="B19" s="76" t="s">
        <v>19</v>
      </c>
      <c r="G19" s="91">
        <v>0</v>
      </c>
      <c r="J19" s="91"/>
    </row>
    <row r="20" spans="2:10" ht="12.75">
      <c r="B20" s="76" t="s">
        <v>20</v>
      </c>
      <c r="G20" s="91">
        <v>0</v>
      </c>
      <c r="J20" s="91"/>
    </row>
    <row r="21" spans="2:10" ht="12.75">
      <c r="B21" s="76" t="s">
        <v>21</v>
      </c>
      <c r="G21" s="91">
        <v>0</v>
      </c>
      <c r="J21" s="91"/>
    </row>
    <row r="22" spans="2:10" ht="12.75">
      <c r="B22" s="76" t="s">
        <v>22</v>
      </c>
      <c r="G22" s="91">
        <v>0</v>
      </c>
      <c r="J22" s="91"/>
    </row>
    <row r="23" spans="6:10" ht="13.5" customHeight="1" thickBot="1">
      <c r="F23" s="88"/>
      <c r="G23" s="92"/>
      <c r="J23" s="91"/>
    </row>
    <row r="24" spans="1:7" ht="13.5" customHeight="1" thickTop="1">
      <c r="A24" s="84" t="s">
        <v>40</v>
      </c>
      <c r="B24" s="93"/>
      <c r="C24" s="85"/>
      <c r="D24" s="85"/>
      <c r="E24" s="85"/>
      <c r="F24" s="86" t="s">
        <v>10</v>
      </c>
      <c r="G24" s="94">
        <f>(SellingPrice-G11)-SUM(G12:G22)</f>
        <v>4568750</v>
      </c>
    </row>
    <row r="25" spans="1:9" ht="12.75">
      <c r="A25" s="76" t="s">
        <v>24</v>
      </c>
      <c r="B25" s="76" t="s">
        <v>12</v>
      </c>
      <c r="G25" s="91">
        <f>ROUND(IF(ISERROR(FIND("PARKING",Model,1)),IF(G24&gt;3199200,G24*12%,0),G24*12%),2)</f>
        <v>548250</v>
      </c>
      <c r="I25" s="91"/>
    </row>
    <row r="26" spans="1:7" ht="12.75" hidden="1">
      <c r="A26" s="90">
        <v>7</v>
      </c>
      <c r="B26" s="76" t="s">
        <v>25</v>
      </c>
      <c r="G26" s="91">
        <f>ROUND(G24*(A26/100),2)</f>
        <v>319812.5</v>
      </c>
    </row>
    <row r="27" spans="1:7" ht="12.75" hidden="1">
      <c r="A27" s="90"/>
      <c r="B27" s="76" t="s">
        <v>26</v>
      </c>
      <c r="F27" s="90">
        <f>IF(G27&gt;50000,50000,G27)</f>
        <v>0</v>
      </c>
      <c r="G27" s="91">
        <v>0</v>
      </c>
    </row>
    <row r="28" spans="1:7" ht="12.75" hidden="1">
      <c r="A28" s="90"/>
      <c r="B28" s="76" t="s">
        <v>27</v>
      </c>
      <c r="G28" s="91">
        <v>0</v>
      </c>
    </row>
    <row r="29" spans="1:7" ht="13.5" customHeight="1" thickBot="1">
      <c r="A29" s="90"/>
      <c r="B29" s="76" t="s">
        <v>25</v>
      </c>
      <c r="G29" s="91">
        <f>ROUND(SUM(G26,G28,F27),2)</f>
        <v>319812.5</v>
      </c>
    </row>
    <row r="30" spans="1:7" ht="13.5" customHeight="1" thickTop="1">
      <c r="A30" s="84" t="s">
        <v>28</v>
      </c>
      <c r="B30" s="85"/>
      <c r="C30" s="85"/>
      <c r="D30" s="85"/>
      <c r="E30" s="85"/>
      <c r="F30" s="86" t="s">
        <v>10</v>
      </c>
      <c r="G30" s="94">
        <f>G24+SUM(G25,G29)</f>
        <v>5436812.5</v>
      </c>
    </row>
    <row r="32" ht="12.75">
      <c r="A32" s="95" t="s">
        <v>41</v>
      </c>
    </row>
    <row r="33" spans="1:10" ht="12.75">
      <c r="A33" s="96">
        <v>20</v>
      </c>
      <c r="B33" s="76" t="str">
        <f>CONCATENATE("Downpayment ("&amp;A33&amp;"% of Selling Price)")</f>
        <v>Downpayment (20% of Selling Price)</v>
      </c>
      <c r="G33" s="91">
        <f>ROUND((G24+G25)*(A33/100),2)</f>
        <v>1023400</v>
      </c>
      <c r="J33" s="91"/>
    </row>
    <row r="34" spans="1:10" ht="13.5" customHeight="1" thickBot="1">
      <c r="A34" s="95"/>
      <c r="B34" s="76" t="s">
        <v>42</v>
      </c>
      <c r="G34" s="91">
        <f>ROUND(G29*(A33/100),2)</f>
        <v>63962.5</v>
      </c>
      <c r="J34" s="97"/>
    </row>
    <row r="35" spans="1:7" ht="13.5" customHeight="1" thickTop="1">
      <c r="A35" s="84" t="s">
        <v>43</v>
      </c>
      <c r="B35" s="85"/>
      <c r="C35" s="85"/>
      <c r="D35" s="85"/>
      <c r="E35" s="85"/>
      <c r="F35" s="86" t="s">
        <v>10</v>
      </c>
      <c r="G35" s="94">
        <f>SUM(G33:G34)</f>
        <v>1087362.5</v>
      </c>
    </row>
    <row r="36" spans="1:7" ht="13.5" customHeight="1" thickBot="1">
      <c r="A36" s="76" t="s">
        <v>11</v>
      </c>
      <c r="B36" s="76" t="s">
        <v>29</v>
      </c>
      <c r="F36" s="98">
        <f>DATE(2020,5,18)</f>
        <v>43969</v>
      </c>
      <c r="G36" s="91">
        <v>20000</v>
      </c>
    </row>
    <row r="37" spans="1:7" ht="13.5" customHeight="1" thickTop="1">
      <c r="A37" s="84" t="s">
        <v>44</v>
      </c>
      <c r="B37" s="85"/>
      <c r="C37" s="85"/>
      <c r="D37" s="85"/>
      <c r="E37" s="99"/>
      <c r="F37" s="86" t="s">
        <v>10</v>
      </c>
      <c r="G37" s="94">
        <f>G35-G36</f>
        <v>1067362.5</v>
      </c>
    </row>
    <row r="38" ht="12.75">
      <c r="A38" s="90">
        <v>0</v>
      </c>
    </row>
    <row r="39" spans="1:7" ht="25.5" customHeight="1">
      <c r="A39" s="100">
        <v>3</v>
      </c>
      <c r="B39" s="189" t="s">
        <v>46</v>
      </c>
      <c r="C39" s="189"/>
      <c r="D39" s="101" t="s">
        <v>47</v>
      </c>
      <c r="E39" s="102" t="s">
        <v>48</v>
      </c>
      <c r="F39" s="103" t="s">
        <v>25</v>
      </c>
      <c r="G39" s="104" t="s">
        <v>49</v>
      </c>
    </row>
    <row r="40" spans="1:7" ht="12.75">
      <c r="A40" s="183" t="s">
        <v>50</v>
      </c>
      <c r="B40" s="183"/>
      <c r="C40" s="183"/>
      <c r="D40" s="105">
        <f>ReservationDate+59</f>
        <v>44028</v>
      </c>
      <c r="E40" s="89">
        <f>ROUND((G35-G36-G34)/A39,2)</f>
        <v>334466.67</v>
      </c>
      <c r="F40" s="106">
        <f>ROUND(SUM(G34:G34)/A39,2)</f>
        <v>21320.83</v>
      </c>
      <c r="G40" s="91">
        <f>SUM(E40:F40)</f>
        <v>355787.5</v>
      </c>
    </row>
    <row r="41" spans="1:7" ht="12.75">
      <c r="A41" s="183" t="s">
        <v>51</v>
      </c>
      <c r="B41" s="183"/>
      <c r="C41" s="183"/>
      <c r="D41" s="105">
        <v>44060</v>
      </c>
      <c r="E41" s="89">
        <f>IF($A$39&lt;VALUE(LEFT(A41,1))," ",IF($A$39=VALUE(LEFT(A41,1)),($G$35-$G$36-$G$34)-($E$40*($A$39-1)),E40))</f>
        <v>334466.67</v>
      </c>
      <c r="F41" s="106">
        <f>IF($A$39&lt;VALUE(LEFT(A41,1))," ",IF($A$39=VALUE(LEFT(A41,1)),$G$34-($F$40*($A$39-1)),F40))</f>
        <v>21320.83</v>
      </c>
      <c r="G41" s="91">
        <f>IF($A$39&lt;VALUE(LEFT(A41,1))," ",SUM(E41:F41))</f>
        <v>355787.5</v>
      </c>
    </row>
    <row r="42" spans="1:7" ht="12.75">
      <c r="A42" s="183" t="s">
        <v>52</v>
      </c>
      <c r="B42" s="183"/>
      <c r="C42" s="183"/>
      <c r="D42" s="105">
        <f>IF($A$39&lt;VALUE(LEFT(A42,1))," ",DATE(YEAR(D41+30),MONTH(D41+30),DAY(D41)))</f>
        <v>44091</v>
      </c>
      <c r="E42" s="89">
        <f aca="true" t="shared" si="0" ref="E42:E48">IF($A$39&lt;VALUE(LEFT(A42,1))," ",IF($A$39=VALUE(LEFT(A42,1)),($G$35-$G$36-$G$34)-($E$40*($A$39-1)),E41))</f>
        <v>334466.66000000003</v>
      </c>
      <c r="F42" s="106">
        <f aca="true" t="shared" si="1" ref="F42:F48">IF($A$39&lt;VALUE(LEFT(A42,1))," ",IF($A$39=VALUE(LEFT(A42,1)),$G$34-($F$40*($A$39-1)),F41))</f>
        <v>21320.839999999997</v>
      </c>
      <c r="G42" s="91">
        <f aca="true" t="shared" si="2" ref="G42:G48">IF($A$39&lt;VALUE(LEFT(A42,1))," ",SUM(E42:F42))</f>
        <v>355787.5</v>
      </c>
    </row>
    <row r="43" spans="1:7" ht="12.75">
      <c r="A43" s="183" t="s">
        <v>53</v>
      </c>
      <c r="B43" s="183"/>
      <c r="C43" s="183"/>
      <c r="D43" s="105" t="str">
        <f aca="true" t="shared" si="3" ref="D43:D48">IF($A$39&lt;VALUE(LEFT(A43,1))," ",DATE(YEAR(D42+30),MONTH(D42+30),DAY(D42)))</f>
        <v> </v>
      </c>
      <c r="E43" s="89" t="str">
        <f t="shared" si="0"/>
        <v> </v>
      </c>
      <c r="F43" s="106" t="str">
        <f t="shared" si="1"/>
        <v> </v>
      </c>
      <c r="G43" s="91" t="str">
        <f t="shared" si="2"/>
        <v> </v>
      </c>
    </row>
    <row r="44" spans="1:7" ht="12.75">
      <c r="A44" s="183" t="s">
        <v>54</v>
      </c>
      <c r="B44" s="183"/>
      <c r="C44" s="183"/>
      <c r="D44" s="105" t="str">
        <f t="shared" si="3"/>
        <v> </v>
      </c>
      <c r="E44" s="89" t="str">
        <f t="shared" si="0"/>
        <v> </v>
      </c>
      <c r="F44" s="106" t="str">
        <f t="shared" si="1"/>
        <v> </v>
      </c>
      <c r="G44" s="91" t="str">
        <f t="shared" si="2"/>
        <v> </v>
      </c>
    </row>
    <row r="45" spans="1:7" ht="12.75">
      <c r="A45" s="183" t="s">
        <v>55</v>
      </c>
      <c r="B45" s="183"/>
      <c r="C45" s="183"/>
      <c r="D45" s="105" t="str">
        <f t="shared" si="3"/>
        <v> </v>
      </c>
      <c r="E45" s="89" t="str">
        <f t="shared" si="0"/>
        <v> </v>
      </c>
      <c r="F45" s="106" t="str">
        <f t="shared" si="1"/>
        <v> </v>
      </c>
      <c r="G45" s="91" t="str">
        <f t="shared" si="2"/>
        <v> </v>
      </c>
    </row>
    <row r="46" spans="1:7" ht="12.75">
      <c r="A46" s="183" t="s">
        <v>56</v>
      </c>
      <c r="B46" s="183"/>
      <c r="C46" s="183"/>
      <c r="D46" s="105" t="str">
        <f t="shared" si="3"/>
        <v> </v>
      </c>
      <c r="E46" s="89" t="str">
        <f t="shared" si="0"/>
        <v> </v>
      </c>
      <c r="F46" s="106" t="str">
        <f t="shared" si="1"/>
        <v> </v>
      </c>
      <c r="G46" s="91" t="str">
        <f t="shared" si="2"/>
        <v> </v>
      </c>
    </row>
    <row r="47" spans="1:7" ht="12.75">
      <c r="A47" s="183" t="s">
        <v>57</v>
      </c>
      <c r="B47" s="183"/>
      <c r="C47" s="183"/>
      <c r="D47" s="105" t="str">
        <f t="shared" si="3"/>
        <v> </v>
      </c>
      <c r="E47" s="89" t="str">
        <f t="shared" si="0"/>
        <v> </v>
      </c>
      <c r="F47" s="106" t="str">
        <f t="shared" si="1"/>
        <v> </v>
      </c>
      <c r="G47" s="91" t="str">
        <f t="shared" si="2"/>
        <v> </v>
      </c>
    </row>
    <row r="48" spans="1:7" ht="12.75">
      <c r="A48" s="183" t="s">
        <v>58</v>
      </c>
      <c r="B48" s="183"/>
      <c r="C48" s="183"/>
      <c r="D48" s="105" t="str">
        <f t="shared" si="3"/>
        <v> </v>
      </c>
      <c r="E48" s="89" t="str">
        <f t="shared" si="0"/>
        <v> </v>
      </c>
      <c r="F48" s="106" t="str">
        <f t="shared" si="1"/>
        <v> </v>
      </c>
      <c r="G48" s="91" t="str">
        <f t="shared" si="2"/>
        <v> </v>
      </c>
    </row>
    <row r="49" spans="1:7" ht="12.75">
      <c r="A49" s="183" t="s">
        <v>59</v>
      </c>
      <c r="B49" s="183"/>
      <c r="C49" s="183"/>
      <c r="D49" s="105" t="str">
        <f>IF($A$39&lt;VALUE(LEFT(A49,2))," ",DATE(YEAR(D48+30),MONTH(D48+30),DAY(D48)))</f>
        <v> </v>
      </c>
      <c r="E49" s="89" t="str">
        <f>IF($A$39&lt;VALUE(LEFT(A49,2))," ",IF($A$39=VALUE(LEFT(A49,2)),($G$35-$G$36-$G$34)-($E$40*($A$39-1)),E48))</f>
        <v> </v>
      </c>
      <c r="F49" s="106" t="str">
        <f>IF($A$39&lt;VALUE(LEFT(A49,2))," ",IF($A$39=VALUE(LEFT(A49,2)),$G$34-($F$40*($A$39-1)),F48))</f>
        <v> </v>
      </c>
      <c r="G49" s="91" t="str">
        <f>IF($A$39&lt;VALUE(LEFT(A49,2))," ",SUM(E49:F49))</f>
        <v> </v>
      </c>
    </row>
    <row r="50" spans="1:7" ht="12.75">
      <c r="A50" s="183" t="s">
        <v>60</v>
      </c>
      <c r="B50" s="183"/>
      <c r="C50" s="183"/>
      <c r="D50" s="105" t="str">
        <f aca="true" t="shared" si="4" ref="D50:D75">IF($A$39&lt;VALUE(LEFT(A50,2))," ",DATE(YEAR(D49+30),MONTH(D49+30),DAY(D49)))</f>
        <v> </v>
      </c>
      <c r="E50" s="89" t="str">
        <f aca="true" t="shared" si="5" ref="E50:E62">IF($A$39&lt;VALUE(LEFT(A50,2))," ",IF($A$39=VALUE(LEFT(A50,2)),($G$35-$G$36-$G$34)-($E$40*($A$39-1)),E49))</f>
        <v> </v>
      </c>
      <c r="F50" s="106" t="str">
        <f aca="true" t="shared" si="6" ref="F50:F62">IF($A$39&lt;VALUE(LEFT(A50,2))," ",IF($A$39=VALUE(LEFT(A50,2)),$G$34-($F$40*($A$39-1)),F49))</f>
        <v> </v>
      </c>
      <c r="G50" s="91" t="str">
        <f aca="true" t="shared" si="7" ref="G50:G62">IF($A$39&lt;VALUE(LEFT(A50,2))," ",SUM(E50:F50))</f>
        <v> </v>
      </c>
    </row>
    <row r="51" spans="1:7" ht="12.75">
      <c r="A51" s="183" t="s">
        <v>61</v>
      </c>
      <c r="B51" s="183"/>
      <c r="C51" s="183"/>
      <c r="D51" s="105" t="str">
        <f t="shared" si="4"/>
        <v> </v>
      </c>
      <c r="E51" s="89" t="str">
        <f t="shared" si="5"/>
        <v> </v>
      </c>
      <c r="F51" s="106" t="str">
        <f t="shared" si="6"/>
        <v> </v>
      </c>
      <c r="G51" s="91" t="str">
        <f t="shared" si="7"/>
        <v> </v>
      </c>
    </row>
    <row r="52" spans="1:7" ht="12.75">
      <c r="A52" s="183" t="s">
        <v>62</v>
      </c>
      <c r="B52" s="183"/>
      <c r="C52" s="183"/>
      <c r="D52" s="105" t="str">
        <f t="shared" si="4"/>
        <v> </v>
      </c>
      <c r="E52" s="89" t="str">
        <f t="shared" si="5"/>
        <v> </v>
      </c>
      <c r="F52" s="106" t="str">
        <f t="shared" si="6"/>
        <v> </v>
      </c>
      <c r="G52" s="91" t="str">
        <f t="shared" si="7"/>
        <v> </v>
      </c>
    </row>
    <row r="53" spans="1:7" ht="12.75">
      <c r="A53" s="183" t="s">
        <v>63</v>
      </c>
      <c r="B53" s="183"/>
      <c r="C53" s="183"/>
      <c r="D53" s="105" t="str">
        <f t="shared" si="4"/>
        <v> </v>
      </c>
      <c r="E53" s="89" t="str">
        <f t="shared" si="5"/>
        <v> </v>
      </c>
      <c r="F53" s="106" t="str">
        <f t="shared" si="6"/>
        <v> </v>
      </c>
      <c r="G53" s="91" t="str">
        <f t="shared" si="7"/>
        <v> </v>
      </c>
    </row>
    <row r="54" spans="1:7" ht="12.75">
      <c r="A54" s="183" t="s">
        <v>64</v>
      </c>
      <c r="B54" s="183"/>
      <c r="C54" s="183"/>
      <c r="D54" s="105" t="str">
        <f t="shared" si="4"/>
        <v> </v>
      </c>
      <c r="E54" s="89" t="str">
        <f t="shared" si="5"/>
        <v> </v>
      </c>
      <c r="F54" s="106" t="str">
        <f t="shared" si="6"/>
        <v> </v>
      </c>
      <c r="G54" s="91" t="str">
        <f t="shared" si="7"/>
        <v> </v>
      </c>
    </row>
    <row r="55" spans="1:7" ht="12.75">
      <c r="A55" s="183" t="s">
        <v>65</v>
      </c>
      <c r="B55" s="183"/>
      <c r="C55" s="183"/>
      <c r="D55" s="105" t="str">
        <f t="shared" si="4"/>
        <v> </v>
      </c>
      <c r="E55" s="89" t="str">
        <f t="shared" si="5"/>
        <v> </v>
      </c>
      <c r="F55" s="106" t="str">
        <f t="shared" si="6"/>
        <v> </v>
      </c>
      <c r="G55" s="91" t="str">
        <f t="shared" si="7"/>
        <v> </v>
      </c>
    </row>
    <row r="56" spans="1:7" ht="12.75">
      <c r="A56" s="183" t="s">
        <v>66</v>
      </c>
      <c r="B56" s="183"/>
      <c r="C56" s="183"/>
      <c r="D56" s="105" t="str">
        <f t="shared" si="4"/>
        <v> </v>
      </c>
      <c r="E56" s="89" t="str">
        <f t="shared" si="5"/>
        <v> </v>
      </c>
      <c r="F56" s="106" t="str">
        <f t="shared" si="6"/>
        <v> </v>
      </c>
      <c r="G56" s="91" t="str">
        <f t="shared" si="7"/>
        <v> </v>
      </c>
    </row>
    <row r="57" spans="1:7" ht="12.75">
      <c r="A57" s="183" t="s">
        <v>67</v>
      </c>
      <c r="B57" s="183"/>
      <c r="C57" s="183"/>
      <c r="D57" s="105" t="str">
        <f t="shared" si="4"/>
        <v> </v>
      </c>
      <c r="E57" s="89" t="str">
        <f t="shared" si="5"/>
        <v> </v>
      </c>
      <c r="F57" s="106" t="str">
        <f t="shared" si="6"/>
        <v> </v>
      </c>
      <c r="G57" s="91" t="str">
        <f t="shared" si="7"/>
        <v> </v>
      </c>
    </row>
    <row r="58" spans="1:7" ht="12.75" hidden="1">
      <c r="A58" s="183" t="s">
        <v>68</v>
      </c>
      <c r="B58" s="183"/>
      <c r="C58" s="183"/>
      <c r="D58" s="105" t="str">
        <f t="shared" si="4"/>
        <v> </v>
      </c>
      <c r="E58" s="89" t="str">
        <f t="shared" si="5"/>
        <v> </v>
      </c>
      <c r="F58" s="106" t="str">
        <f t="shared" si="6"/>
        <v> </v>
      </c>
      <c r="G58" s="91" t="str">
        <f t="shared" si="7"/>
        <v> </v>
      </c>
    </row>
    <row r="59" spans="1:7" ht="12.75" hidden="1">
      <c r="A59" s="183" t="s">
        <v>69</v>
      </c>
      <c r="B59" s="183"/>
      <c r="C59" s="183"/>
      <c r="D59" s="105" t="str">
        <f t="shared" si="4"/>
        <v> </v>
      </c>
      <c r="E59" s="89" t="str">
        <f t="shared" si="5"/>
        <v> </v>
      </c>
      <c r="F59" s="106" t="str">
        <f t="shared" si="6"/>
        <v> </v>
      </c>
      <c r="G59" s="91" t="str">
        <f t="shared" si="7"/>
        <v> </v>
      </c>
    </row>
    <row r="60" spans="1:7" ht="12.75" hidden="1">
      <c r="A60" s="183" t="s">
        <v>70</v>
      </c>
      <c r="B60" s="183"/>
      <c r="C60" s="183"/>
      <c r="D60" s="105" t="str">
        <f t="shared" si="4"/>
        <v> </v>
      </c>
      <c r="E60" s="89" t="str">
        <f t="shared" si="5"/>
        <v> </v>
      </c>
      <c r="F60" s="106" t="str">
        <f t="shared" si="6"/>
        <v> </v>
      </c>
      <c r="G60" s="91" t="str">
        <f t="shared" si="7"/>
        <v> </v>
      </c>
    </row>
    <row r="61" spans="1:7" ht="12.75" hidden="1">
      <c r="A61" s="183" t="s">
        <v>71</v>
      </c>
      <c r="B61" s="183"/>
      <c r="C61" s="183"/>
      <c r="D61" s="105" t="str">
        <f t="shared" si="4"/>
        <v> </v>
      </c>
      <c r="E61" s="89" t="str">
        <f t="shared" si="5"/>
        <v> </v>
      </c>
      <c r="F61" s="106" t="str">
        <f t="shared" si="6"/>
        <v> </v>
      </c>
      <c r="G61" s="91" t="str">
        <f t="shared" si="7"/>
        <v> </v>
      </c>
    </row>
    <row r="62" spans="1:7" ht="12.75" hidden="1">
      <c r="A62" s="183" t="s">
        <v>72</v>
      </c>
      <c r="B62" s="183"/>
      <c r="C62" s="183"/>
      <c r="D62" s="105" t="str">
        <f t="shared" si="4"/>
        <v> </v>
      </c>
      <c r="E62" s="89" t="str">
        <f t="shared" si="5"/>
        <v> </v>
      </c>
      <c r="F62" s="106" t="str">
        <f t="shared" si="6"/>
        <v> </v>
      </c>
      <c r="G62" s="91" t="str">
        <f t="shared" si="7"/>
        <v> </v>
      </c>
    </row>
    <row r="63" spans="1:7" ht="12.75" hidden="1">
      <c r="A63" s="183" t="s">
        <v>73</v>
      </c>
      <c r="B63" s="183"/>
      <c r="C63" s="183"/>
      <c r="D63" s="105" t="str">
        <f t="shared" si="4"/>
        <v> </v>
      </c>
      <c r="E63" s="89" t="str">
        <f>IF($A$39&lt;VALUE(LEFT(A63,2))," ",IF($A$39=VALUE(LEFT(A63,2)),($G$35-$G$36-$G$34)-($E$40*($A$39-1)),E62))</f>
        <v> </v>
      </c>
      <c r="F63" s="106" t="str">
        <f>IF($A$39&lt;VALUE(LEFT(A63,2))," ",IF($A$39=VALUE(LEFT(A63,2)),$G$34-($F$40*($A$39-1)),F62))</f>
        <v> </v>
      </c>
      <c r="G63" s="91" t="str">
        <f>IF($A$39&lt;VALUE(LEFT(A63,2))," ",SUM(E63:F63))</f>
        <v> </v>
      </c>
    </row>
    <row r="64" spans="1:7" ht="12.75" hidden="1">
      <c r="A64" s="183" t="s">
        <v>74</v>
      </c>
      <c r="B64" s="183"/>
      <c r="C64" s="183"/>
      <c r="D64" s="105" t="str">
        <f t="shared" si="4"/>
        <v> </v>
      </c>
      <c r="E64" s="89" t="str">
        <f aca="true" t="shared" si="8" ref="E64:E75">IF($A$39&lt;VALUE(LEFT(A64,2))," ",IF($A$39=VALUE(LEFT(A64,2)),($G$35-$G$36-$G$34)-($E$40*($A$39-1)),E63))</f>
        <v> </v>
      </c>
      <c r="F64" s="106" t="str">
        <f aca="true" t="shared" si="9" ref="F64:F75">IF($A$39&lt;VALUE(LEFT(A64,2))," ",IF($A$39=VALUE(LEFT(A64,2)),$G$34-($F$40*($A$39-1)),F63))</f>
        <v> </v>
      </c>
      <c r="G64" s="91" t="str">
        <f aca="true" t="shared" si="10" ref="G64:G75">IF($A$39&lt;VALUE(LEFT(A64,2))," ",SUM(E64:F64))</f>
        <v> </v>
      </c>
    </row>
    <row r="65" spans="1:7" ht="12.75" hidden="1">
      <c r="A65" s="183" t="s">
        <v>75</v>
      </c>
      <c r="B65" s="183"/>
      <c r="C65" s="183"/>
      <c r="D65" s="105" t="str">
        <f t="shared" si="4"/>
        <v> </v>
      </c>
      <c r="E65" s="89" t="str">
        <f t="shared" si="8"/>
        <v> </v>
      </c>
      <c r="F65" s="106" t="str">
        <f t="shared" si="9"/>
        <v> </v>
      </c>
      <c r="G65" s="91" t="str">
        <f t="shared" si="10"/>
        <v> </v>
      </c>
    </row>
    <row r="66" spans="1:7" ht="12.75" hidden="1">
      <c r="A66" s="183" t="s">
        <v>76</v>
      </c>
      <c r="B66" s="183"/>
      <c r="C66" s="183"/>
      <c r="D66" s="105" t="str">
        <f t="shared" si="4"/>
        <v> </v>
      </c>
      <c r="E66" s="89" t="str">
        <f t="shared" si="8"/>
        <v> </v>
      </c>
      <c r="F66" s="106" t="str">
        <f t="shared" si="9"/>
        <v> </v>
      </c>
      <c r="G66" s="91" t="str">
        <f t="shared" si="10"/>
        <v> </v>
      </c>
    </row>
    <row r="67" spans="1:7" ht="12.75" hidden="1">
      <c r="A67" s="183" t="s">
        <v>77</v>
      </c>
      <c r="B67" s="183"/>
      <c r="C67" s="183"/>
      <c r="D67" s="105" t="str">
        <f t="shared" si="4"/>
        <v> </v>
      </c>
      <c r="E67" s="89" t="str">
        <f t="shared" si="8"/>
        <v> </v>
      </c>
      <c r="F67" s="106" t="str">
        <f t="shared" si="9"/>
        <v> </v>
      </c>
      <c r="G67" s="91" t="str">
        <f t="shared" si="10"/>
        <v> </v>
      </c>
    </row>
    <row r="68" spans="1:7" ht="12.75" hidden="1">
      <c r="A68" s="183" t="s">
        <v>78</v>
      </c>
      <c r="B68" s="183"/>
      <c r="C68" s="183"/>
      <c r="D68" s="105" t="str">
        <f t="shared" si="4"/>
        <v> </v>
      </c>
      <c r="E68" s="89" t="str">
        <f t="shared" si="8"/>
        <v> </v>
      </c>
      <c r="F68" s="106" t="str">
        <f t="shared" si="9"/>
        <v> </v>
      </c>
      <c r="G68" s="91" t="str">
        <f t="shared" si="10"/>
        <v> </v>
      </c>
    </row>
    <row r="69" spans="1:7" ht="12.75" hidden="1">
      <c r="A69" s="183" t="s">
        <v>79</v>
      </c>
      <c r="B69" s="183"/>
      <c r="C69" s="183"/>
      <c r="D69" s="105" t="str">
        <f t="shared" si="4"/>
        <v> </v>
      </c>
      <c r="E69" s="89" t="str">
        <f t="shared" si="8"/>
        <v> </v>
      </c>
      <c r="F69" s="106" t="str">
        <f t="shared" si="9"/>
        <v> </v>
      </c>
      <c r="G69" s="91" t="str">
        <f t="shared" si="10"/>
        <v> </v>
      </c>
    </row>
    <row r="70" spans="1:7" ht="12.75" hidden="1">
      <c r="A70" s="183" t="s">
        <v>80</v>
      </c>
      <c r="B70" s="183"/>
      <c r="C70" s="183"/>
      <c r="D70" s="105" t="str">
        <f t="shared" si="4"/>
        <v> </v>
      </c>
      <c r="E70" s="89" t="str">
        <f t="shared" si="8"/>
        <v> </v>
      </c>
      <c r="F70" s="106" t="str">
        <f t="shared" si="9"/>
        <v> </v>
      </c>
      <c r="G70" s="91" t="str">
        <f t="shared" si="10"/>
        <v> </v>
      </c>
    </row>
    <row r="71" spans="1:7" ht="12.75" hidden="1">
      <c r="A71" s="183" t="s">
        <v>81</v>
      </c>
      <c r="B71" s="183"/>
      <c r="C71" s="183"/>
      <c r="D71" s="105" t="str">
        <f t="shared" si="4"/>
        <v> </v>
      </c>
      <c r="E71" s="89" t="str">
        <f t="shared" si="8"/>
        <v> </v>
      </c>
      <c r="F71" s="106" t="str">
        <f t="shared" si="9"/>
        <v> </v>
      </c>
      <c r="G71" s="91" t="str">
        <f t="shared" si="10"/>
        <v> </v>
      </c>
    </row>
    <row r="72" spans="1:7" ht="12.75" hidden="1">
      <c r="A72" s="183" t="s">
        <v>82</v>
      </c>
      <c r="B72" s="183"/>
      <c r="C72" s="183"/>
      <c r="D72" s="105" t="str">
        <f t="shared" si="4"/>
        <v> </v>
      </c>
      <c r="E72" s="89" t="str">
        <f t="shared" si="8"/>
        <v> </v>
      </c>
      <c r="F72" s="106" t="str">
        <f t="shared" si="9"/>
        <v> </v>
      </c>
      <c r="G72" s="91" t="str">
        <f t="shared" si="10"/>
        <v> </v>
      </c>
    </row>
    <row r="73" spans="1:7" ht="12.75" hidden="1">
      <c r="A73" s="183" t="s">
        <v>83</v>
      </c>
      <c r="B73" s="183"/>
      <c r="C73" s="183"/>
      <c r="D73" s="105" t="str">
        <f t="shared" si="4"/>
        <v> </v>
      </c>
      <c r="E73" s="89" t="str">
        <f t="shared" si="8"/>
        <v> </v>
      </c>
      <c r="F73" s="106" t="str">
        <f t="shared" si="9"/>
        <v> </v>
      </c>
      <c r="G73" s="91" t="str">
        <f t="shared" si="10"/>
        <v> </v>
      </c>
    </row>
    <row r="74" spans="1:7" ht="12.75" hidden="1">
      <c r="A74" s="183" t="s">
        <v>84</v>
      </c>
      <c r="B74" s="183"/>
      <c r="C74" s="183"/>
      <c r="D74" s="105" t="str">
        <f t="shared" si="4"/>
        <v> </v>
      </c>
      <c r="E74" s="89" t="str">
        <f t="shared" si="8"/>
        <v> </v>
      </c>
      <c r="F74" s="106" t="str">
        <f t="shared" si="9"/>
        <v> </v>
      </c>
      <c r="G74" s="91" t="str">
        <f t="shared" si="10"/>
        <v> </v>
      </c>
    </row>
    <row r="75" spans="1:7" ht="12.75" hidden="1">
      <c r="A75" s="183" t="s">
        <v>85</v>
      </c>
      <c r="B75" s="183"/>
      <c r="C75" s="183"/>
      <c r="D75" s="105" t="str">
        <f t="shared" si="4"/>
        <v> </v>
      </c>
      <c r="E75" s="89" t="str">
        <f t="shared" si="8"/>
        <v> </v>
      </c>
      <c r="F75" s="106" t="str">
        <f t="shared" si="9"/>
        <v> </v>
      </c>
      <c r="G75" s="91" t="str">
        <f t="shared" si="10"/>
        <v> </v>
      </c>
    </row>
    <row r="76" spans="2:7" ht="12.75">
      <c r="B76" s="107"/>
      <c r="E76" s="108"/>
      <c r="F76" s="98"/>
      <c r="G76" s="109"/>
    </row>
    <row r="77" ht="12.75">
      <c r="A77" s="95" t="s">
        <v>86</v>
      </c>
    </row>
    <row r="78" spans="2:6" ht="12.75">
      <c r="B78" s="76" t="s">
        <v>87</v>
      </c>
      <c r="F78" s="110" t="str">
        <f>D52</f>
        <v> </v>
      </c>
    </row>
    <row r="79" spans="2:9" ht="12.75">
      <c r="B79" s="76" t="s">
        <v>88</v>
      </c>
      <c r="F79" s="110" t="e">
        <f>D57+31</f>
        <v>#VALUE!</v>
      </c>
      <c r="G79" s="111">
        <f>ROUND(((G24+G25)*((100-A33)/100))+(G29*(100-A33)/100),2)</f>
        <v>4349450</v>
      </c>
      <c r="I79" s="91"/>
    </row>
    <row r="80" ht="12.75">
      <c r="B80" s="76" t="s">
        <v>89</v>
      </c>
    </row>
    <row r="82" spans="1:4" ht="12.75">
      <c r="A82" s="112" t="s">
        <v>31</v>
      </c>
      <c r="B82" s="113"/>
      <c r="C82" s="113"/>
      <c r="D82" s="113"/>
    </row>
    <row r="83" spans="1:7" ht="12.75">
      <c r="A83" s="181" t="s">
        <v>94</v>
      </c>
      <c r="B83" s="181"/>
      <c r="C83" s="181"/>
      <c r="D83" s="181"/>
      <c r="E83" s="181"/>
      <c r="F83" s="181"/>
      <c r="G83" s="181"/>
    </row>
    <row r="84" spans="1:4" ht="12.75">
      <c r="A84" s="113" t="s">
        <v>32</v>
      </c>
      <c r="B84" s="113"/>
      <c r="C84" s="113"/>
      <c r="D84" s="113"/>
    </row>
    <row r="85" spans="1:4" ht="12.75">
      <c r="A85" s="113" t="s">
        <v>33</v>
      </c>
      <c r="B85" s="113"/>
      <c r="C85" s="113"/>
      <c r="D85" s="113"/>
    </row>
    <row r="86" spans="1:4" ht="12.75">
      <c r="A86" s="113" t="s">
        <v>34</v>
      </c>
      <c r="B86" s="113"/>
      <c r="C86" s="113"/>
      <c r="D86" s="113"/>
    </row>
    <row r="87" spans="1:4" ht="12.75">
      <c r="A87" s="114" t="s">
        <v>35</v>
      </c>
      <c r="B87" s="113"/>
      <c r="C87" s="113"/>
      <c r="D87" s="113"/>
    </row>
    <row r="88" spans="1:4" ht="12.75">
      <c r="A88" s="114" t="s">
        <v>36</v>
      </c>
      <c r="B88" s="113"/>
      <c r="C88" s="113"/>
      <c r="D88" s="113"/>
    </row>
    <row r="89" spans="1:4" ht="12.75">
      <c r="A89" s="114" t="s">
        <v>37</v>
      </c>
      <c r="B89" s="113"/>
      <c r="C89" s="113"/>
      <c r="D89" s="113"/>
    </row>
    <row r="90" spans="1:4" ht="12.75">
      <c r="A90" s="114" t="s">
        <v>38</v>
      </c>
      <c r="B90" s="113"/>
      <c r="C90" s="113"/>
      <c r="D90" s="113"/>
    </row>
    <row r="91" spans="1:4" ht="12.75">
      <c r="A91" s="114" t="s">
        <v>39</v>
      </c>
      <c r="B91" s="113"/>
      <c r="C91" s="113"/>
      <c r="D91" s="113"/>
    </row>
    <row r="92" spans="1:7" ht="12.75">
      <c r="A92" s="181" t="s">
        <v>95</v>
      </c>
      <c r="B92" s="181"/>
      <c r="C92" s="181"/>
      <c r="D92" s="181"/>
      <c r="E92" s="181"/>
      <c r="F92" s="181"/>
      <c r="G92" s="181"/>
    </row>
    <row r="93" spans="1:7" ht="12.75">
      <c r="A93" s="181"/>
      <c r="B93" s="181"/>
      <c r="C93" s="181"/>
      <c r="D93" s="181"/>
      <c r="E93" s="181"/>
      <c r="F93" s="181"/>
      <c r="G93" s="181"/>
    </row>
    <row r="94" spans="1:7" ht="12.75">
      <c r="A94" s="182"/>
      <c r="B94" s="182"/>
      <c r="C94" s="182"/>
      <c r="D94" s="182"/>
      <c r="E94" s="182"/>
      <c r="F94" s="182"/>
      <c r="G94" s="182"/>
    </row>
    <row r="97" spans="1:5" ht="12.75">
      <c r="A97" s="76" t="s">
        <v>96</v>
      </c>
      <c r="E97" s="76" t="s">
        <v>97</v>
      </c>
    </row>
    <row r="100" spans="1:7" ht="12.75">
      <c r="A100" s="115"/>
      <c r="B100" s="115"/>
      <c r="C100" s="115"/>
      <c r="E100" s="115"/>
      <c r="F100" s="115"/>
      <c r="G100" s="115"/>
    </row>
    <row r="101" spans="1:5" ht="12.75">
      <c r="A101" s="76" t="s">
        <v>98</v>
      </c>
      <c r="E101" s="76" t="s">
        <v>98</v>
      </c>
    </row>
    <row r="102" spans="1:5" ht="12.75">
      <c r="A102" s="76" t="s">
        <v>99</v>
      </c>
      <c r="E102" s="76" t="s">
        <v>100</v>
      </c>
    </row>
    <row r="105" ht="12.75">
      <c r="A105" s="76" t="s">
        <v>101</v>
      </c>
    </row>
    <row r="108" spans="1:3" ht="12.75">
      <c r="A108" s="115"/>
      <c r="B108" s="115"/>
      <c r="C108" s="115"/>
    </row>
    <row r="109" ht="12.75">
      <c r="A109" s="76" t="s">
        <v>98</v>
      </c>
    </row>
    <row r="110" ht="12.75">
      <c r="A110" s="76" t="s">
        <v>102</v>
      </c>
    </row>
  </sheetData>
  <sheetProtection/>
  <mergeCells count="46">
    <mergeCell ref="B1:F1"/>
    <mergeCell ref="B2:F2"/>
    <mergeCell ref="A3:G3"/>
    <mergeCell ref="F6:G6"/>
    <mergeCell ref="F7:G7"/>
    <mergeCell ref="B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83:G83"/>
    <mergeCell ref="A92:G92"/>
    <mergeCell ref="A93:G93"/>
    <mergeCell ref="A94:G94"/>
    <mergeCell ref="A70:C70"/>
    <mergeCell ref="A71:C71"/>
    <mergeCell ref="A72:C72"/>
    <mergeCell ref="A73:C73"/>
    <mergeCell ref="A74:C74"/>
    <mergeCell ref="A75:C75"/>
  </mergeCells>
  <conditionalFormatting sqref="B11 B25">
    <cfRule type="expression" priority="1" dxfId="40" stopIfTrue="1">
      <formula>G11=0</formula>
    </cfRule>
  </conditionalFormatting>
  <conditionalFormatting sqref="A41:C48">
    <cfRule type="expression" priority="2" dxfId="40" stopIfTrue="1">
      <formula>VALUE(NoDPSchedule)&lt;VALUE(LEFT(A41,1))</formula>
    </cfRule>
  </conditionalFormatting>
  <conditionalFormatting sqref="A49:C75">
    <cfRule type="expression" priority="3" dxfId="40" stopIfTrue="1">
      <formula>VALUE(NoDPSchedule)&lt;VALUE(LEFT(A49,2))</formula>
    </cfRule>
  </conditionalFormatting>
  <conditionalFormatting sqref="G11 G25">
    <cfRule type="expression" priority="4" dxfId="40" stopIfTrue="1">
      <formula>G11=0</formula>
    </cfRule>
  </conditionalFormatting>
  <conditionalFormatting sqref="D4">
    <cfRule type="expression" priority="5" dxfId="42" stopIfTrue="1">
      <formula>G5&lt;=TODAY()</formula>
    </cfRule>
  </conditionalFormatting>
  <printOptions horizontalCentered="1"/>
  <pageMargins left="0.25" right="0.25" top="0.5" bottom="0.5" header="0.5" footer="0.5"/>
  <pageSetup fitToHeight="1" fitToWidth="1"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javier.marvin</dc:creator>
  <cp:keywords/>
  <dc:description/>
  <cp:lastModifiedBy>AVIDA Baldovino, Dhiana R.</cp:lastModifiedBy>
  <cp:lastPrinted>2019-07-15T01:25:23Z</cp:lastPrinted>
  <dcterms:created xsi:type="dcterms:W3CDTF">2019-07-15T01:26:33Z</dcterms:created>
  <dcterms:modified xsi:type="dcterms:W3CDTF">2021-01-15T10:42:06Z</dcterms:modified>
  <cp:category/>
  <cp:version/>
  <cp:contentType/>
  <cp:contentStatus/>
</cp:coreProperties>
</file>