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88" firstSheet="1" activeTab="4"/>
  </bookViews>
  <sheets>
    <sheet name="NDI_Reference" sheetId="1" state="hidden" r:id="rId1"/>
    <sheet name="SPOT CASH" sheetId="2" r:id="rId2"/>
    <sheet name="10-10-36 BANK" sheetId="3" r:id="rId3"/>
    <sheet name="1 BEDROOM" sheetId="4" state="hidden" r:id="rId4"/>
    <sheet name="10-5-36 BANK (2)" sheetId="5" r:id="rId5"/>
    <sheet name="STRETCH" sheetId="6" r:id="rId6"/>
    <sheet name="3 BEDROOM" sheetId="7" state="hidden" r:id="rId7"/>
  </sheets>
  <externalReferences>
    <externalReference r:id="rId10"/>
  </externalReferences>
  <definedNames>
    <definedName name="ACServiceFee" localSheetId="3">'1 BEDROOM'!$G$28</definedName>
    <definedName name="ACServiceFee" localSheetId="4">'10-5-36 BANK (2)'!$G$28</definedName>
    <definedName name="ACServiceFee" localSheetId="6">'3 BEDROOM'!$G$28</definedName>
    <definedName name="ACServiceFee" localSheetId="1">'SPOT CASH'!$G$28</definedName>
    <definedName name="ACServiceFee" localSheetId="5">'STRETCH'!$G$28</definedName>
    <definedName name="ACServiceFee">'10-10-36 BANK'!$G$28</definedName>
    <definedName name="AllowedDefMonths" localSheetId="3">'1 BEDROOM'!$G$5</definedName>
    <definedName name="AllowedDefMonths" localSheetId="4">'10-5-36 BANK (2)'!$G$5</definedName>
    <definedName name="AllowedDefMonths" localSheetId="6">'3 BEDROOM'!$G$5</definedName>
    <definedName name="AllowedDefMonths" localSheetId="5">'STRETCH'!$G$5</definedName>
    <definedName name="AllowedDefMonths">'10-10-36 BANK'!$G$5</definedName>
    <definedName name="BookingDiscount" localSheetId="3">'1 BEDROOM'!$G$16</definedName>
    <definedName name="BookingDiscount" localSheetId="4">'10-5-36 BANK (2)'!$G$16</definedName>
    <definedName name="BookingDiscount" localSheetId="6">'3 BEDROOM'!$G$16</definedName>
    <definedName name="BookingDiscount" localSheetId="1">'SPOT CASH'!$G$16</definedName>
    <definedName name="BookingDiscount" localSheetId="5">'STRETCH'!$G$16</definedName>
    <definedName name="BookingDiscount">'10-10-36 BANK'!$G$16</definedName>
    <definedName name="BulkDiscount" localSheetId="3">'1 BEDROOM'!$G$19</definedName>
    <definedName name="BulkDiscount" localSheetId="4">'10-5-36 BANK (2)'!$G$19</definedName>
    <definedName name="BulkDiscount" localSheetId="6">'3 BEDROOM'!$G$19</definedName>
    <definedName name="BulkDiscount" localSheetId="1">'SPOT CASH'!$G$19</definedName>
    <definedName name="BulkDiscount" localSheetId="5">'STRETCH'!$G$19</definedName>
    <definedName name="BulkDiscount">'10-10-36 BANK'!$G$19</definedName>
    <definedName name="CommittedSalesDiscount" localSheetId="3">'1 BEDROOM'!$G$15</definedName>
    <definedName name="CommittedSalesDiscount" localSheetId="4">'10-5-36 BANK (2)'!$G$15</definedName>
    <definedName name="CommittedSalesDiscount" localSheetId="6">'3 BEDROOM'!$G$15</definedName>
    <definedName name="CommittedSalesDiscount" localSheetId="1">'SPOT CASH'!$G$15</definedName>
    <definedName name="CommittedSalesDiscount" localSheetId="5">'STRETCH'!$G$15</definedName>
    <definedName name="CommittedSalesDiscount">'10-10-36 BANK'!$G$15</definedName>
    <definedName name="Discount1Desc" localSheetId="3">'1 BEDROOM'!$B$21</definedName>
    <definedName name="Discount1Desc" localSheetId="4">'10-5-36 BANK (2)'!$B$21</definedName>
    <definedName name="Discount1Desc" localSheetId="6">'3 BEDROOM'!$B$21</definedName>
    <definedName name="Discount1Desc" localSheetId="1">'SPOT CASH'!$B$21</definedName>
    <definedName name="Discount1Desc" localSheetId="5">'STRETCH'!$B$21</definedName>
    <definedName name="Discount1Desc">'10-10-36 BANK'!$B$21</definedName>
    <definedName name="Discount1Value" localSheetId="3">'1 BEDROOM'!$G$21</definedName>
    <definedName name="Discount1Value" localSheetId="4">'10-5-36 BANK (2)'!$G$21</definedName>
    <definedName name="Discount1Value" localSheetId="6">'3 BEDROOM'!$G$21</definedName>
    <definedName name="Discount1Value" localSheetId="1">'SPOT CASH'!$G$21</definedName>
    <definedName name="Discount1Value" localSheetId="5">'STRETCH'!$G$21</definedName>
    <definedName name="Discount1Value">'10-10-36 BANK'!$G$21</definedName>
    <definedName name="Discount2Desc" localSheetId="3">'1 BEDROOM'!$B$22</definedName>
    <definedName name="Discount2Desc" localSheetId="4">'10-5-36 BANK (2)'!$B$22</definedName>
    <definedName name="Discount2Desc" localSheetId="6">'3 BEDROOM'!$B$22</definedName>
    <definedName name="Discount2Desc" localSheetId="1">'SPOT CASH'!$B$22</definedName>
    <definedName name="Discount2Desc" localSheetId="5">'STRETCH'!$B$22</definedName>
    <definedName name="Discount2Desc">'10-10-36 BANK'!$B$22</definedName>
    <definedName name="Discount2Value" localSheetId="3">'1 BEDROOM'!$G$22</definedName>
    <definedName name="Discount2Value" localSheetId="4">'10-5-36 BANK (2)'!$G$22</definedName>
    <definedName name="Discount2Value" localSheetId="6">'3 BEDROOM'!$G$22</definedName>
    <definedName name="Discount2Value" localSheetId="1">'SPOT CASH'!$G$22</definedName>
    <definedName name="Discount2Value" localSheetId="5">'STRETCH'!$G$22</definedName>
    <definedName name="Discount2Value">'10-10-36 BANK'!$G$22</definedName>
    <definedName name="Downpayment" localSheetId="3">'1 BEDROOM'!$A$33</definedName>
    <definedName name="Downpayment" localSheetId="4">'10-5-36 BANK (2)'!$A$33</definedName>
    <definedName name="Downpayment" localSheetId="6">'3 BEDROOM'!$A$33</definedName>
    <definedName name="Downpayment" localSheetId="1">'SPOT CASH'!$C$33</definedName>
    <definedName name="Downpayment" localSheetId="5">'STRETCH'!$A$33</definedName>
    <definedName name="Downpayment">'10-10-36 BANK'!$A$33</definedName>
    <definedName name="DPDate" localSheetId="3">'1 BEDROOM'!$F$41</definedName>
    <definedName name="DPDate" localSheetId="4">'10-5-36 BANK (2)'!$F$41</definedName>
    <definedName name="DPDate" localSheetId="6">'3 BEDROOM'!$F$41</definedName>
    <definedName name="DPDate" localSheetId="1">'SPOT CASH'!$E$32</definedName>
    <definedName name="DPDate" localSheetId="5">'STRETCH'!$D$40</definedName>
    <definedName name="DPDate">'10-10-36 BANK'!$F$41</definedName>
    <definedName name="EmployeeDiscount" localSheetId="3">'1 BEDROOM'!$G$18</definedName>
    <definedName name="EmployeeDiscount" localSheetId="4">'10-5-36 BANK (2)'!$G$18</definedName>
    <definedName name="EmployeeDiscount" localSheetId="6">'3 BEDROOM'!$G$18</definedName>
    <definedName name="EmployeeDiscount" localSheetId="1">'SPOT CASH'!$G$18</definedName>
    <definedName name="EmployeeDiscount" localSheetId="5">'STRETCH'!$G$18</definedName>
    <definedName name="EmployeeDiscount">'10-10-36 BANK'!$G$18</definedName>
    <definedName name="Floor" localSheetId="3">'1 BEDROOM'!$C$7</definedName>
    <definedName name="Floor" localSheetId="4">'10-5-36 BANK (2)'!$C$7</definedName>
    <definedName name="Floor" localSheetId="6">'3 BEDROOM'!$C$7</definedName>
    <definedName name="Floor" localSheetId="1">'SPOT CASH'!$C$7</definedName>
    <definedName name="Floor" localSheetId="5">'STRETCH'!$C$7</definedName>
    <definedName name="Floor">'10-10-36 BANK'!$C$7</definedName>
    <definedName name="FloorArea" localSheetId="3">'1 BEDROOM'!$D$7</definedName>
    <definedName name="FloorArea" localSheetId="4">'10-5-36 BANK (2)'!$D$7</definedName>
    <definedName name="FloorArea" localSheetId="6">'3 BEDROOM'!$D$7</definedName>
    <definedName name="FloorArea" localSheetId="1">'SPOT CASH'!$D$7</definedName>
    <definedName name="FloorArea" localSheetId="5">'STRETCH'!$D$7</definedName>
    <definedName name="FloorArea">'10-10-36 BANK'!$D$7</definedName>
    <definedName name="LumpOCDate" localSheetId="3">'1 BEDROOM'!$B$24</definedName>
    <definedName name="LumpOCDate" localSheetId="4">'10-5-36 BANK (2)'!$B$24</definedName>
    <definedName name="LumpOCDate" localSheetId="6">'3 BEDROOM'!$B$24</definedName>
    <definedName name="LumpOCDate" localSheetId="1">'SPOT CASH'!$B$24</definedName>
    <definedName name="LumpOCDate" localSheetId="5">'STRETCH'!$B$24</definedName>
    <definedName name="LumpOCDate">'10-10-36 BANK'!$B$24</definedName>
    <definedName name="Mode" localSheetId="3">'1 BEDROOM'!$D$4</definedName>
    <definedName name="Mode" localSheetId="4">'10-5-36 BANK (2)'!$D$4</definedName>
    <definedName name="Mode" localSheetId="6">'3 BEDROOM'!$D$4</definedName>
    <definedName name="Mode" localSheetId="1">'SPOT CASH'!$D$4</definedName>
    <definedName name="Mode" localSheetId="5">'STRETCH'!$D$4</definedName>
    <definedName name="Mode">'10-10-36 BANK'!$D$4</definedName>
    <definedName name="Model" localSheetId="3">'1 BEDROOM'!$F$7</definedName>
    <definedName name="Model" localSheetId="4">'10-5-36 BANK (2)'!$F$7</definedName>
    <definedName name="Model" localSheetId="6">'3 BEDROOM'!$F$7</definedName>
    <definedName name="Model" localSheetId="1">'SPOT CASH'!$F$7</definedName>
    <definedName name="Model" localSheetId="5">'STRETCH'!$F$7</definedName>
    <definedName name="Model">'10-10-36 BANK'!$F$7</definedName>
    <definedName name="NoDPSchedule" localSheetId="3">'1 BEDROOM'!$A$47</definedName>
    <definedName name="NoDPSchedule" localSheetId="4">'10-5-36 BANK (2)'!$A$47</definedName>
    <definedName name="NoDPSchedule" localSheetId="6">'3 BEDROOM'!$A$47</definedName>
    <definedName name="NoDPSchedule" localSheetId="1">'SPOT CASH'!$B$33</definedName>
    <definedName name="NoDPSchedule" localSheetId="5">'STRETCH'!$A$39</definedName>
    <definedName name="NoDPSchedule">'10-10-36 BANK'!$A$47</definedName>
    <definedName name="Note1" localSheetId="3">'1 BEDROOM'!$A$91</definedName>
    <definedName name="Note1" localSheetId="4">'10-5-36 BANK (2)'!$A$103</definedName>
    <definedName name="Note1" localSheetId="6">'3 BEDROOM'!$A$91</definedName>
    <definedName name="Note1" localSheetId="1">'SPOT CASH'!$A$35</definedName>
    <definedName name="Note1" localSheetId="5">'STRETCH'!$A$95</definedName>
    <definedName name="Note1">'10-10-36 BANK'!$A$103</definedName>
    <definedName name="OtherBSDiscount" localSheetId="3">'1 BEDROOM'!$G$17</definedName>
    <definedName name="OtherBSDiscount" localSheetId="4">'10-5-36 BANK (2)'!$G$17</definedName>
    <definedName name="OtherBSDiscount" localSheetId="6">'3 BEDROOM'!$G$17</definedName>
    <definedName name="OtherBSDiscount" localSheetId="1">'SPOT CASH'!$G$17</definedName>
    <definedName name="OtherBSDiscount" localSheetId="5">'STRETCH'!$G$17</definedName>
    <definedName name="OtherBSDiscount">'10-10-36 BANK'!$G$17</definedName>
    <definedName name="OtherChargesPercentage" localSheetId="3">'1 BEDROOM'!$A$26</definedName>
    <definedName name="OtherChargesPercentage" localSheetId="4">'10-5-36 BANK (2)'!$A$26</definedName>
    <definedName name="OtherChargesPercentage" localSheetId="6">'3 BEDROOM'!$A$26</definedName>
    <definedName name="OtherChargesPercentage" localSheetId="1">'SPOT CASH'!$A$26</definedName>
    <definedName name="OtherChargesPercentage" localSheetId="5">'STRETCH'!$A$26</definedName>
    <definedName name="OtherChargesPercentage">'10-10-36 BANK'!$A$26</definedName>
    <definedName name="OtherDiscount" localSheetId="3">'1 BEDROOM'!$G$20</definedName>
    <definedName name="OtherDiscount" localSheetId="4">'10-5-36 BANK (2)'!$G$20</definedName>
    <definedName name="OtherDiscount" localSheetId="6">'3 BEDROOM'!$G$20</definedName>
    <definedName name="OtherDiscount" localSheetId="1">'SPOT CASH'!$G$20</definedName>
    <definedName name="OtherDiscount" localSheetId="5">'STRETCH'!$G$20</definedName>
    <definedName name="OtherDiscount">'10-10-36 BANK'!$G$20</definedName>
    <definedName name="OtherRSDiscount" localSheetId="3">'1 BEDROOM'!$G$14</definedName>
    <definedName name="OtherRSDiscount" localSheetId="4">'10-5-36 BANK (2)'!$G$14</definedName>
    <definedName name="OtherRSDiscount" localSheetId="6">'3 BEDROOM'!$G$14</definedName>
    <definedName name="OtherRSDiscount" localSheetId="1">'SPOT CASH'!$G$14</definedName>
    <definedName name="OtherRSDiscount" localSheetId="5">'STRETCH'!$G$14</definedName>
    <definedName name="OtherRSDiscount">'10-10-36 BANK'!$G$14</definedName>
    <definedName name="Payee" localSheetId="3">'1 BEDROOM'!$A$100</definedName>
    <definedName name="Payee" localSheetId="4">'10-5-36 BANK (2)'!$A$112</definedName>
    <definedName name="Payee" localSheetId="6">'3 BEDROOM'!$A$100</definedName>
    <definedName name="Payee" localSheetId="1">'SPOT CASH'!$A$44</definedName>
    <definedName name="Payee" localSheetId="5">'STRETCH'!$A$104</definedName>
    <definedName name="Payee">'10-10-36 BANK'!$A$112</definedName>
    <definedName name="PercentageDiscount" localSheetId="3">'1 BEDROOM'!$A$12</definedName>
    <definedName name="PercentageDiscount" localSheetId="4">'10-5-36 BANK (2)'!$A$12</definedName>
    <definedName name="PercentageDiscount" localSheetId="6">'3 BEDROOM'!$A$12</definedName>
    <definedName name="PercentageDiscount" localSheetId="1">'SPOT CASH'!$A$12</definedName>
    <definedName name="PercentageDiscount" localSheetId="5">'STRETCH'!$A$12</definedName>
    <definedName name="PercentageDiscount">'10-10-36 BANK'!$A$12</definedName>
    <definedName name="ProjectDateCompletion" localSheetId="5">#REF!</definedName>
    <definedName name="ProjectDateCompletion">'SPOT CASH'!$G$5</definedName>
    <definedName name="ProjectName" localSheetId="3">'1 BEDROOM'!$A$3</definedName>
    <definedName name="ProjectName" localSheetId="4">'10-5-36 BANK (2)'!$A$3</definedName>
    <definedName name="ProjectName" localSheetId="6">'3 BEDROOM'!$A$3</definedName>
    <definedName name="ProjectName" localSheetId="1">'SPOT CASH'!$A$3</definedName>
    <definedName name="ProjectName" localSheetId="5">'STRETCH'!$A$3</definedName>
    <definedName name="ProjectName">'10-10-36 BANK'!$A$3</definedName>
    <definedName name="ReservationDate" localSheetId="3">'1 BEDROOM'!$F$36</definedName>
    <definedName name="ReservationDate" localSheetId="4">'10-5-36 BANK (2)'!$F$36</definedName>
    <definedName name="ReservationDate" localSheetId="6">'3 BEDROOM'!$F$36</definedName>
    <definedName name="ReservationDate" localSheetId="1">'SPOT CASH'!$E$31</definedName>
    <definedName name="ReservationDate" localSheetId="5">'STRETCH'!$F$36</definedName>
    <definedName name="ReservationDate">'10-10-36 BANK'!$F$36</definedName>
    <definedName name="ReservationDiscount" localSheetId="3">'1 BEDROOM'!$G$13</definedName>
    <definedName name="ReservationDiscount" localSheetId="4">'10-5-36 BANK (2)'!$G$13</definedName>
    <definedName name="ReservationDiscount" localSheetId="6">'3 BEDROOM'!$G$13</definedName>
    <definedName name="ReservationDiscount" localSheetId="1">'SPOT CASH'!$G$13</definedName>
    <definedName name="ReservationDiscount" localSheetId="5">'STRETCH'!$G$13</definedName>
    <definedName name="ReservationDiscount">'10-10-36 BANK'!$G$13</definedName>
    <definedName name="ReservationFee" localSheetId="3">'1 BEDROOM'!$G$36</definedName>
    <definedName name="ReservationFee" localSheetId="4">'10-5-36 BANK (2)'!$G$36</definedName>
    <definedName name="ReservationFee" localSheetId="6">'3 BEDROOM'!$G$36</definedName>
    <definedName name="ReservationFee" localSheetId="1">'SPOT CASH'!$G$31</definedName>
    <definedName name="ReservationFee" localSheetId="5">'STRETCH'!$G$36</definedName>
    <definedName name="ReservationFee">'10-10-36 BANK'!$G$36</definedName>
    <definedName name="SellingPrice" localSheetId="3">'1 BEDROOM'!$G$10</definedName>
    <definedName name="SellingPrice" localSheetId="4">'10-5-36 BANK (2)'!$G$10</definedName>
    <definedName name="SellingPrice" localSheetId="6">'3 BEDROOM'!$G$10</definedName>
    <definedName name="SellingPrice" localSheetId="1">'SPOT CASH'!$G$10</definedName>
    <definedName name="SellingPrice" localSheetId="5">'STRETCH'!$G$10</definedName>
    <definedName name="SellingPrice">'10-10-36 BANK'!$G$10</definedName>
    <definedName name="ServiceFee" localSheetId="3">'1 BEDROOM'!$G$27</definedName>
    <definedName name="ServiceFee" localSheetId="4">'10-5-36 BANK (2)'!$G$27</definedName>
    <definedName name="ServiceFee" localSheetId="6">'3 BEDROOM'!$G$27</definedName>
    <definedName name="ServiceFee" localSheetId="1">'SPOT CASH'!$G$27</definedName>
    <definedName name="ServiceFee" localSheetId="5">'STRETCH'!$G$27</definedName>
    <definedName name="ServiceFee">'10-10-36 BANK'!$G$27</definedName>
    <definedName name="SpotDownpayment" localSheetId="3">'1 BEDROOM'!$A$39</definedName>
    <definedName name="SpotDownpayment" localSheetId="4">'10-5-36 BANK (2)'!$A$39</definedName>
    <definedName name="SpotDownpayment" localSheetId="6">'3 BEDROOM'!$A$39</definedName>
    <definedName name="SpotDownpayment" localSheetId="1">'SPOT CASH'!$A$33</definedName>
    <definedName name="SpotDownpayment" localSheetId="5">'STRETCH'!$A$38</definedName>
    <definedName name="SpotDownpayment">'10-10-36 BANK'!$A$39</definedName>
    <definedName name="StandardDiscount" localSheetId="3">'1 BEDROOM'!$G$12</definedName>
    <definedName name="StandardDiscount" localSheetId="4">'10-5-36 BANK (2)'!$G$12</definedName>
    <definedName name="StandardDiscount" localSheetId="6">'3 BEDROOM'!$G$12</definedName>
    <definedName name="StandardDiscount" localSheetId="1">'SPOT CASH'!$G$12</definedName>
    <definedName name="StandardDiscount" localSheetId="5">'STRETCH'!$G$12</definedName>
    <definedName name="StandardDiscount">'10-10-36 BANK'!$G$12</definedName>
    <definedName name="TotalOtherCharges" localSheetId="3">'1 BEDROOM'!$G$26</definedName>
    <definedName name="TotalOtherCharges" localSheetId="4">'10-5-36 BANK (2)'!$G$26</definedName>
    <definedName name="TotalOtherCharges" localSheetId="6">'3 BEDROOM'!$G$26</definedName>
    <definedName name="TotalOtherCharges" localSheetId="1">'SPOT CASH'!$G$26</definedName>
    <definedName name="TotalOtherCharges" localSheetId="5">'STRETCH'!$G$26</definedName>
    <definedName name="TotalOtherCharges">'10-10-36 BANK'!$G$26</definedName>
    <definedName name="Tower" localSheetId="3">'1 BEDROOM'!$A$7</definedName>
    <definedName name="Tower" localSheetId="4">'10-5-36 BANK (2)'!$A$7</definedName>
    <definedName name="Tower" localSheetId="6">'3 BEDROOM'!$A$7</definedName>
    <definedName name="Tower" localSheetId="1">'SPOT CASH'!$A$7</definedName>
    <definedName name="Tower" localSheetId="5">'STRETCH'!$A$7</definedName>
    <definedName name="Tower">'10-10-36 BANK'!$A$7</definedName>
    <definedName name="Unit" localSheetId="3">'1 BEDROOM'!$B$7</definedName>
    <definedName name="Unit" localSheetId="4">'10-5-36 BANK (2)'!$B$7</definedName>
    <definedName name="Unit" localSheetId="6">'3 BEDROOM'!$B$7</definedName>
    <definedName name="Unit" localSheetId="1">'SPOT CASH'!$B$7</definedName>
    <definedName name="Unit" localSheetId="5">'STRETCH'!$B$7</definedName>
    <definedName name="Unit">'10-10-36 BANK'!$B$7</definedName>
  </definedNames>
  <calcPr fullCalcOnLoad="1"/>
</workbook>
</file>

<file path=xl/sharedStrings.xml><?xml version="1.0" encoding="utf-8"?>
<sst xmlns="http://schemas.openxmlformats.org/spreadsheetml/2006/main" count="644" uniqueCount="146">
  <si>
    <t>AVIDA LAND CORP.</t>
  </si>
  <si>
    <t>CUSTOMER SERVICE UNIT</t>
  </si>
  <si>
    <t>AVIDA TOWERS VIREO</t>
  </si>
  <si>
    <t>Tower</t>
  </si>
  <si>
    <t>Unit</t>
  </si>
  <si>
    <t>Floor</t>
  </si>
  <si>
    <t>Floor Area</t>
  </si>
  <si>
    <t>Model</t>
  </si>
  <si>
    <t>1</t>
  </si>
  <si>
    <t>5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</si>
  <si>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</si>
  <si>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</si>
  <si>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</si>
  <si>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</si>
  <si>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</si>
  <si>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</si>
  <si>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</si>
  <si>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</si>
  <si>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</si>
  <si>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</si>
  <si>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</si>
  <si>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</si>
  <si>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</si>
  <si>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</si>
  <si>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</si>
  <si>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</si>
  <si>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</si>
  <si>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</si>
  <si>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</si>
  <si>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</si>
  <si>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</si>
  <si>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</si>
  <si>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</si>
  <si>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</si>
  <si>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</si>
  <si>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</si>
  <si>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</si>
  <si>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</si>
  <si>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</si>
  <si>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</si>
  <si>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</si>
  <si>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</si>
  <si>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</si>
  <si>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</si>
  <si>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</si>
  <si>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</si>
  <si>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</si>
  <si>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</si>
  <si>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</si>
  <si>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</si>
  <si>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</si>
  <si>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</si>
  <si>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</si>
  <si>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</si>
  <si>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</si>
  <si>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</si>
  <si>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</si>
  <si>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</si>
  <si>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</si>
  <si>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</si>
  <si>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</si>
  <si>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</si>
  <si>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</si>
  <si>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</si>
  <si>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</si>
  <si>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</si>
  <si>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</si>
  <si>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</si>
  <si>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</si>
  <si>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</si>
  <si>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</si>
  <si>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</si>
  <si>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</si>
  <si>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</si>
  <si>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</si>
  <si>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</si>
  <si>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</si>
  <si>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</si>
  <si>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</si>
  <si>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</si>
  <si>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</si>
  <si>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</si>
  <si>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</si>
  <si>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</si>
  <si>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</si>
  <si>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</si>
  <si>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</si>
  <si>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</si>
  <si>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</si>
  <si>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</si>
  <si>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</si>
  <si>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</si>
  <si>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</si>
  <si>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</si>
  <si>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</si>
  <si>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</si>
  <si>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Bank Financing: Estimated Monthly Amortization (Mortgage Registration Charges not included)</t>
  </si>
  <si>
    <t>Principal</t>
  </si>
  <si>
    <t>Total Bank Loanable Amount</t>
  </si>
  <si>
    <t>Term (Years)</t>
  </si>
  <si>
    <t>Interest Rate</t>
  </si>
  <si>
    <t>Factor Rate</t>
  </si>
  <si>
    <t>From</t>
  </si>
  <si>
    <t>To</t>
  </si>
  <si>
    <t>NDI</t>
  </si>
  <si>
    <t>5 Years</t>
  </si>
  <si>
    <t>10 Years</t>
  </si>
  <si>
    <t>15 Years</t>
  </si>
  <si>
    <t>20 Years</t>
  </si>
  <si>
    <t>25 Years</t>
  </si>
  <si>
    <t>In-house Financing: Estimated Monthly Amortization</t>
  </si>
  <si>
    <t>Total Loan Amount</t>
  </si>
  <si>
    <t>Schedules</t>
  </si>
  <si>
    <t>Monthly Amort</t>
  </si>
  <si>
    <t xml:space="preserve">Total </t>
  </si>
  <si>
    <t>Due Dates</t>
  </si>
  <si>
    <t>60th Payment</t>
  </si>
  <si>
    <t>5.   All payments covering the due dates and amounts above should be made payable to AYALA LAND INC.</t>
  </si>
  <si>
    <t>1.   In the event of an increase in Other Charges, AYALA LAND INC. has the right to charge the</t>
  </si>
  <si>
    <t>1 BR W/ BALCONY</t>
  </si>
  <si>
    <t>3 BR W/ BALCONY</t>
  </si>
  <si>
    <t>NET SELLING PRICE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</si>
  <si>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</si>
  <si>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</si>
  <si>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</si>
  <si>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</si>
  <si>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</si>
  <si>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</si>
  <si>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</si>
  <si>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</si>
  <si>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</si>
  <si>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</si>
  <si>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</si>
  <si>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</si>
  <si>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SPOT CASH</t>
  </si>
  <si>
    <t>SAMPLE COMPUTATION ONLY</t>
  </si>
  <si>
    <t>BALANCE DUE AND PAYABLE:</t>
  </si>
  <si>
    <t>1.   In the event of an increase in Other Charges, the ALI has the right to charge the</t>
  </si>
  <si>
    <t>5.   All payments covering the due dates and amounts above should be made payable to ALI.</t>
  </si>
  <si>
    <t>1.   In the event of an increase in Other Charges, ALI has the right to charge the</t>
  </si>
  <si>
    <t>Local Buyer Discount</t>
  </si>
  <si>
    <t>STUDIO</t>
  </si>
  <si>
    <t>DOCS MUST BE SUBMITTED 20 DAYS FROM RS DATE</t>
  </si>
  <si>
    <t xml:space="preserve">Local Discount </t>
  </si>
  <si>
    <t>Local Discount</t>
  </si>
  <si>
    <t>docs must be submitted 20 days from RS date</t>
  </si>
</sst>
</file>

<file path=xl/styles.xml><?xml version="1.0" encoding="utf-8"?>
<styleSheet xmlns="http://schemas.openxmlformats.org/spreadsheetml/2006/main">
  <numFmts count="3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;;;"/>
    <numFmt numFmtId="179" formatCode="[$-3409]dd\-mmm\-yy;@"/>
    <numFmt numFmtId="180" formatCode="_(* #,##0.000000000_);_(* \(#,##0.000000000\);_(* &quot;-&quot;??_);_(@_)"/>
    <numFmt numFmtId="181" formatCode="_(\P\ #,##0.00_);_(\P\ \(#,##0.00\);_(\P\ &quot;-&quot;??_);_(@_)"/>
    <numFmt numFmtId="182" formatCode="_(\P* #,##0_);_(\P* \(#,##0\);_(\P* &quot;-&quot;_);_(@_)"/>
    <numFmt numFmtId="183" formatCode="[$-409]dd\-mmm\-yy;@"/>
    <numFmt numFmtId="184" formatCode="_(\P* #,##0.00_);_(\P* \(#,##0.00\);_(\P* &quot;-&quot;??_);_(@_)"/>
    <numFmt numFmtId="185" formatCode="_(\P\ * #,##0.00_);_(\P\ * \(#,##0.00\);_(\P\ * &quot;-&quot;??_);_(@_)"/>
    <numFmt numFmtId="186" formatCode="_(* #,##0.0000000_);_(* \(#,##0.0000000\);_(* &quot;-&quot;??_);_(@_)"/>
    <numFmt numFmtId="187" formatCode="_(* #,##0.0000_);_(* \(#,##0.0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color indexed="8"/>
      <name val="Courier New"/>
      <family val="0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8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171" fontId="6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178" fontId="1" fillId="33" borderId="0" xfId="0" applyNumberFormat="1" applyFont="1" applyFill="1" applyBorder="1" applyAlignment="1" applyProtection="1">
      <alignment/>
      <protection/>
    </xf>
    <xf numFmtId="171" fontId="6" fillId="33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179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8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81" fontId="6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83" fontId="1" fillId="0" borderId="0" xfId="0" applyNumberFormat="1" applyFont="1" applyFill="1" applyBorder="1" applyAlignment="1" applyProtection="1">
      <alignment horizontal="center"/>
      <protection/>
    </xf>
    <xf numFmtId="184" fontId="6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0" fontId="1" fillId="0" borderId="19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horizontal="right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186" fontId="1" fillId="0" borderId="20" xfId="0" applyNumberFormat="1" applyFont="1" applyFill="1" applyBorder="1" applyAlignment="1" applyProtection="1">
      <alignment/>
      <protection/>
    </xf>
    <xf numFmtId="183" fontId="1" fillId="0" borderId="20" xfId="0" applyNumberFormat="1" applyFont="1" applyFill="1" applyBorder="1" applyAlignment="1" applyProtection="1">
      <alignment horizontal="center"/>
      <protection/>
    </xf>
    <xf numFmtId="171" fontId="6" fillId="0" borderId="20" xfId="0" applyNumberFormat="1" applyFont="1" applyFill="1" applyBorder="1" applyAlignment="1" applyProtection="1">
      <alignment/>
      <protection/>
    </xf>
    <xf numFmtId="171" fontId="11" fillId="0" borderId="2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86" fontId="1" fillId="0" borderId="0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186" fontId="1" fillId="0" borderId="19" xfId="0" applyNumberFormat="1" applyFont="1" applyFill="1" applyBorder="1" applyAlignment="1" applyProtection="1">
      <alignment/>
      <protection/>
    </xf>
    <xf numFmtId="183" fontId="1" fillId="0" borderId="19" xfId="0" applyNumberFormat="1" applyFont="1" applyFill="1" applyBorder="1" applyAlignment="1" applyProtection="1">
      <alignment horizontal="center"/>
      <protection/>
    </xf>
    <xf numFmtId="171" fontId="1" fillId="0" borderId="22" xfId="0" applyNumberFormat="1" applyFont="1" applyFill="1" applyBorder="1" applyAlignment="1" applyProtection="1">
      <alignment/>
      <protection/>
    </xf>
    <xf numFmtId="0" fontId="13" fillId="0" borderId="23" xfId="0" applyNumberFormat="1" applyFont="1" applyFill="1" applyBorder="1" applyAlignment="1" applyProtection="1">
      <alignment/>
      <protection/>
    </xf>
    <xf numFmtId="171" fontId="1" fillId="0" borderId="24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171" fontId="6" fillId="0" borderId="24" xfId="0" applyNumberFormat="1" applyFont="1" applyFill="1" applyBorder="1" applyAlignment="1" applyProtection="1">
      <alignment/>
      <protection/>
    </xf>
    <xf numFmtId="9" fontId="13" fillId="0" borderId="23" xfId="0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20" xfId="0" applyNumberFormat="1" applyFont="1" applyFill="1" applyBorder="1" applyAlignment="1" applyProtection="1">
      <alignment horizontal="center" vertical="center" wrapText="1"/>
      <protection/>
    </xf>
    <xf numFmtId="171" fontId="1" fillId="0" borderId="20" xfId="0" applyNumberFormat="1" applyFont="1" applyFill="1" applyBorder="1" applyAlignment="1" applyProtection="1">
      <alignment horizontal="center" vertical="center"/>
      <protection/>
    </xf>
    <xf numFmtId="171" fontId="6" fillId="0" borderId="20" xfId="0" applyNumberFormat="1" applyFont="1" applyFill="1" applyBorder="1" applyAlignment="1" applyProtection="1">
      <alignment horizontal="center" vertical="center"/>
      <protection/>
    </xf>
    <xf numFmtId="179" fontId="1" fillId="0" borderId="2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0" borderId="10" xfId="55" applyNumberFormat="1" applyFont="1" applyFill="1" applyBorder="1" applyAlignment="1" applyProtection="1">
      <alignment/>
      <protection/>
    </xf>
    <xf numFmtId="0" fontId="1" fillId="0" borderId="11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/>
      <protection/>
    </xf>
    <xf numFmtId="0" fontId="1" fillId="0" borderId="12" xfId="55" applyNumberFormat="1" applyFont="1" applyFill="1" applyBorder="1" applyAlignment="1" applyProtection="1">
      <alignment/>
      <protection/>
    </xf>
    <xf numFmtId="0" fontId="1" fillId="0" borderId="13" xfId="55" applyNumberFormat="1" applyFont="1" applyFill="1" applyBorder="1" applyAlignment="1" applyProtection="1">
      <alignment/>
      <protection/>
    </xf>
    <xf numFmtId="0" fontId="1" fillId="0" borderId="14" xfId="55" applyNumberFormat="1" applyFont="1" applyFill="1" applyBorder="1" applyAlignment="1" applyProtection="1">
      <alignment/>
      <protection/>
    </xf>
    <xf numFmtId="0" fontId="1" fillId="0" borderId="15" xfId="55" applyNumberFormat="1" applyFont="1" applyFill="1" applyBorder="1" applyAlignment="1" applyProtection="1">
      <alignment/>
      <protection/>
    </xf>
    <xf numFmtId="0" fontId="6" fillId="0" borderId="15" xfId="55" applyNumberFormat="1" applyFont="1" applyFill="1" applyBorder="1" applyAlignment="1" applyProtection="1">
      <alignment horizontal="center"/>
      <protection/>
    </xf>
    <xf numFmtId="0" fontId="1" fillId="0" borderId="16" xfId="55" applyNumberFormat="1" applyFont="1" applyFill="1" applyBorder="1" applyAlignment="1" applyProtection="1">
      <alignment/>
      <protection/>
    </xf>
    <xf numFmtId="178" fontId="1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 horizontal="center"/>
      <protection/>
    </xf>
    <xf numFmtId="0" fontId="1" fillId="0" borderId="0" xfId="55" applyNumberFormat="1" applyFont="1" applyFill="1" applyBorder="1" applyAlignment="1" applyProtection="1">
      <alignment horizontal="center"/>
      <protection/>
    </xf>
    <xf numFmtId="0" fontId="6" fillId="33" borderId="0" xfId="55" applyNumberFormat="1" applyFont="1" applyFill="1" applyBorder="1" applyAlignment="1" applyProtection="1">
      <alignment/>
      <protection/>
    </xf>
    <xf numFmtId="0" fontId="1" fillId="33" borderId="0" xfId="55" applyNumberFormat="1" applyFont="1" applyFill="1" applyBorder="1" applyAlignment="1" applyProtection="1">
      <alignment horizontal="left"/>
      <protection/>
    </xf>
    <xf numFmtId="0" fontId="1" fillId="33" borderId="0" xfId="55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right"/>
      <protection/>
    </xf>
    <xf numFmtId="171" fontId="6" fillId="33" borderId="0" xfId="55" applyNumberFormat="1" applyFont="1" applyFill="1" applyBorder="1" applyAlignment="1" applyProtection="1">
      <alignment horizontal="right"/>
      <protection/>
    </xf>
    <xf numFmtId="0" fontId="1" fillId="0" borderId="0" xfId="55" applyNumberFormat="1" applyFont="1" applyFill="1" applyBorder="1" applyAlignment="1" applyProtection="1">
      <alignment horizontal="left"/>
      <protection/>
    </xf>
    <xf numFmtId="0" fontId="6" fillId="0" borderId="0" xfId="55" applyNumberFormat="1" applyFont="1" applyFill="1" applyBorder="1" applyAlignment="1" applyProtection="1">
      <alignment horizontal="right"/>
      <protection/>
    </xf>
    <xf numFmtId="171" fontId="1" fillId="0" borderId="0" xfId="55" applyNumberFormat="1" applyFont="1" applyFill="1" applyBorder="1" applyAlignment="1" applyProtection="1">
      <alignment horizontal="right"/>
      <protection/>
    </xf>
    <xf numFmtId="171" fontId="1" fillId="0" borderId="0" xfId="55" applyNumberFormat="1" applyFont="1" applyFill="1" applyBorder="1" applyAlignment="1" applyProtection="1">
      <alignment/>
      <protection/>
    </xf>
    <xf numFmtId="171" fontId="6" fillId="0" borderId="0" xfId="55" applyNumberFormat="1" applyFont="1" applyFill="1" applyBorder="1" applyAlignment="1" applyProtection="1">
      <alignment/>
      <protection/>
    </xf>
    <xf numFmtId="178" fontId="1" fillId="33" borderId="0" xfId="55" applyNumberFormat="1" applyFont="1" applyFill="1" applyBorder="1" applyAlignment="1" applyProtection="1">
      <alignment/>
      <protection/>
    </xf>
    <xf numFmtId="171" fontId="6" fillId="33" borderId="17" xfId="55" applyNumberFormat="1" applyFont="1" applyFill="1" applyBorder="1" applyAlignment="1" applyProtection="1">
      <alignment/>
      <protection/>
    </xf>
    <xf numFmtId="179" fontId="1" fillId="0" borderId="0" xfId="55" applyNumberFormat="1" applyFont="1" applyFill="1" applyBorder="1" applyAlignment="1" applyProtection="1">
      <alignment horizontal="center"/>
      <protection/>
    </xf>
    <xf numFmtId="0" fontId="6" fillId="33" borderId="0" xfId="55" applyNumberFormat="1" applyFont="1" applyFill="1" applyBorder="1" applyAlignment="1" applyProtection="1">
      <alignment/>
      <protection hidden="1"/>
    </xf>
    <xf numFmtId="178" fontId="6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10" fillId="0" borderId="0" xfId="55" applyNumberFormat="1" applyFont="1" applyFill="1" applyBorder="1" applyAlignment="1" applyProtection="1">
      <alignment/>
      <protection/>
    </xf>
    <xf numFmtId="0" fontId="10" fillId="0" borderId="0" xfId="55" applyNumberFormat="1" applyFont="1" applyFill="1" applyBorder="1" applyAlignment="1" applyProtection="1">
      <alignment horizontal="left"/>
      <protection/>
    </xf>
    <xf numFmtId="0" fontId="1" fillId="0" borderId="18" xfId="55" applyNumberFormat="1" applyFont="1" applyFill="1" applyBorder="1" applyAlignment="1" applyProtection="1">
      <alignment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0" xfId="55" applyFont="1">
      <alignment/>
      <protection/>
    </xf>
    <xf numFmtId="0" fontId="1" fillId="0" borderId="12" xfId="55" applyFont="1" applyBorder="1">
      <alignment/>
      <protection/>
    </xf>
    <xf numFmtId="0" fontId="1" fillId="0" borderId="13" xfId="55" applyFont="1" applyBorder="1">
      <alignment/>
      <protection/>
    </xf>
    <xf numFmtId="178" fontId="1" fillId="0" borderId="14" xfId="55" applyNumberFormat="1" applyFont="1" applyBorder="1">
      <alignment/>
      <protection/>
    </xf>
    <xf numFmtId="0" fontId="1" fillId="0" borderId="15" xfId="55" applyFont="1" applyBorder="1">
      <alignment/>
      <protection/>
    </xf>
    <xf numFmtId="0" fontId="6" fillId="0" borderId="15" xfId="55" applyFont="1" applyBorder="1" applyAlignment="1">
      <alignment horizontal="center"/>
      <protection/>
    </xf>
    <xf numFmtId="0" fontId="1" fillId="0" borderId="16" xfId="55" applyFont="1" applyBorder="1">
      <alignment/>
      <protection/>
    </xf>
    <xf numFmtId="14" fontId="5" fillId="0" borderId="0" xfId="55" applyNumberFormat="1" applyFont="1">
      <alignment/>
      <protection/>
    </xf>
    <xf numFmtId="0" fontId="6" fillId="35" borderId="0" xfId="55" applyFont="1" applyFill="1">
      <alignment/>
      <protection/>
    </xf>
    <xf numFmtId="0" fontId="1" fillId="35" borderId="0" xfId="55" applyFont="1" applyFill="1" applyAlignment="1">
      <alignment horizontal="left"/>
      <protection/>
    </xf>
    <xf numFmtId="0" fontId="1" fillId="35" borderId="0" xfId="55" applyFont="1" applyFill="1">
      <alignment/>
      <protection/>
    </xf>
    <xf numFmtId="0" fontId="6" fillId="35" borderId="0" xfId="55" applyFont="1" applyFill="1" applyAlignment="1">
      <alignment horizontal="right"/>
      <protection/>
    </xf>
    <xf numFmtId="171" fontId="6" fillId="35" borderId="0" xfId="55" applyNumberFormat="1" applyFont="1" applyFill="1" applyAlignment="1">
      <alignment horizontal="right"/>
      <protection/>
    </xf>
    <xf numFmtId="0" fontId="1" fillId="0" borderId="0" xfId="55" applyFont="1" applyAlignment="1">
      <alignment horizontal="left"/>
      <protection/>
    </xf>
    <xf numFmtId="0" fontId="6" fillId="0" borderId="0" xfId="55" applyFont="1" applyAlignment="1">
      <alignment horizontal="right"/>
      <protection/>
    </xf>
    <xf numFmtId="171" fontId="1" fillId="0" borderId="0" xfId="55" applyNumberFormat="1" applyFont="1" applyAlignment="1">
      <alignment horizontal="right"/>
      <protection/>
    </xf>
    <xf numFmtId="178" fontId="1" fillId="0" borderId="0" xfId="55" applyNumberFormat="1" applyFont="1">
      <alignment/>
      <protection/>
    </xf>
    <xf numFmtId="171" fontId="1" fillId="0" borderId="0" xfId="55" applyNumberFormat="1" applyFont="1">
      <alignment/>
      <protection/>
    </xf>
    <xf numFmtId="171" fontId="6" fillId="0" borderId="0" xfId="55" applyNumberFormat="1" applyFont="1">
      <alignment/>
      <protection/>
    </xf>
    <xf numFmtId="0" fontId="6" fillId="0" borderId="0" xfId="55" applyFont="1">
      <alignment/>
      <protection/>
    </xf>
    <xf numFmtId="178" fontId="6" fillId="0" borderId="0" xfId="55" applyNumberFormat="1" applyFont="1">
      <alignment/>
      <protection/>
    </xf>
    <xf numFmtId="187" fontId="1" fillId="0" borderId="0" xfId="55" applyNumberFormat="1" applyFont="1">
      <alignment/>
      <protection/>
    </xf>
    <xf numFmtId="179" fontId="1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 wrapText="1"/>
      <protection/>
    </xf>
    <xf numFmtId="179" fontId="7" fillId="0" borderId="0" xfId="55" applyNumberFormat="1" applyFont="1" applyAlignment="1">
      <alignment horizontal="center" vertical="center" wrapText="1"/>
      <protection/>
    </xf>
    <xf numFmtId="182" fontId="7" fillId="0" borderId="0" xfId="55" applyNumberFormat="1" applyFont="1" applyAlignment="1">
      <alignment horizontal="center" vertical="center" wrapText="1"/>
      <protection/>
    </xf>
    <xf numFmtId="179" fontId="1" fillId="0" borderId="0" xfId="55" applyNumberFormat="1" applyFont="1" applyAlignment="1">
      <alignment horizontal="center" vertical="center"/>
      <protection/>
    </xf>
    <xf numFmtId="171" fontId="1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182" fontId="6" fillId="0" borderId="0" xfId="55" applyNumberFormat="1" applyFont="1">
      <alignment/>
      <protection/>
    </xf>
    <xf numFmtId="183" fontId="1" fillId="0" borderId="0" xfId="55" applyNumberFormat="1" applyFont="1" applyAlignment="1">
      <alignment horizontal="center"/>
      <protection/>
    </xf>
    <xf numFmtId="185" fontId="6" fillId="0" borderId="0" xfId="55" applyNumberFormat="1" applyFont="1" applyAlignment="1">
      <alignment horizontal="right"/>
      <protection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left"/>
      <protection/>
    </xf>
    <xf numFmtId="179" fontId="1" fillId="36" borderId="0" xfId="0" applyNumberFormat="1" applyFont="1" applyFill="1" applyBorder="1" applyAlignment="1" applyProtection="1">
      <alignment horizontal="center"/>
      <protection/>
    </xf>
    <xf numFmtId="179" fontId="1" fillId="37" borderId="0" xfId="55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left"/>
      <protection/>
    </xf>
    <xf numFmtId="0" fontId="6" fillId="33" borderId="27" xfId="0" applyNumberFormat="1" applyFont="1" applyFill="1" applyBorder="1" applyAlignment="1" applyProtection="1">
      <alignment horizontal="left"/>
      <protection/>
    </xf>
    <xf numFmtId="0" fontId="6" fillId="33" borderId="26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left"/>
      <protection/>
    </xf>
    <xf numFmtId="0" fontId="7" fillId="0" borderId="0" xfId="55" applyNumberFormat="1" applyFont="1" applyFill="1" applyBorder="1" applyAlignment="1" applyProtection="1">
      <alignment horizontal="left"/>
      <protection/>
    </xf>
    <xf numFmtId="0" fontId="2" fillId="0" borderId="17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Alignment="1">
      <alignment horizontal="right" indent="2"/>
      <protection/>
    </xf>
    <xf numFmtId="0" fontId="10" fillId="0" borderId="0" xfId="55" applyFont="1" applyAlignment="1">
      <alignment horizontal="left"/>
      <protection/>
    </xf>
    <xf numFmtId="0" fontId="2" fillId="0" borderId="17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\SAMPLE%20COMPUTATIONS\VIREO\JULY%201%20-%2021\VIREO%20T2%20-%20STUDIO%20-%20FOREIGN%20BUY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 CASH"/>
      <sheetName val="BANK FIN"/>
      <sheetName val="DEFFER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1"/>
  <sheetViews>
    <sheetView zoomScalePageLayoutView="0" workbookViewId="0" topLeftCell="A1">
      <selection activeCell="A4" sqref="A4:G4"/>
    </sheetView>
  </sheetViews>
  <sheetFormatPr defaultColWidth="12.375" defaultRowHeight="12.75" customHeight="1"/>
  <cols>
    <col min="1" max="1" width="12.375" style="1" customWidth="1"/>
    <col min="2" max="2" width="13.125" style="1" customWidth="1"/>
    <col min="3" max="3" width="17.625" style="1" customWidth="1"/>
    <col min="4" max="4" width="13.625" style="1" customWidth="1"/>
    <col min="5" max="5" width="14.75390625" style="1" customWidth="1"/>
    <col min="6" max="6" width="17.375" style="1" customWidth="1"/>
    <col min="7" max="7" width="18.375" style="1" customWidth="1"/>
    <col min="8" max="8" width="13.25390625" style="1" customWidth="1"/>
    <col min="9" max="16384" width="12.375" style="1" customWidth="1"/>
  </cols>
  <sheetData>
    <row r="2" spans="1:7" ht="14.25" customHeight="1">
      <c r="A2" s="2"/>
      <c r="B2" s="162" t="str">
        <f>'10-10-36 BANK'!B1</f>
        <v>AVIDA LAND CORP.</v>
      </c>
      <c r="C2" s="162"/>
      <c r="D2" s="162"/>
      <c r="E2" s="162"/>
      <c r="F2" s="162"/>
      <c r="G2" s="3"/>
    </row>
    <row r="3" spans="1:7" ht="14.25" customHeight="1">
      <c r="A3" s="4"/>
      <c r="B3" s="163" t="str">
        <f>'10-10-36 BANK'!B2</f>
        <v>CUSTOMER SERVICE UNIT</v>
      </c>
      <c r="C3" s="163"/>
      <c r="D3" s="163"/>
      <c r="E3" s="163"/>
      <c r="F3" s="163"/>
      <c r="G3" s="5"/>
    </row>
    <row r="4" spans="1:7" ht="30" customHeight="1">
      <c r="A4" s="164" t="str">
        <f>'10-10-36 BANK'!A3</f>
        <v>AVIDA TOWERS VIREO</v>
      </c>
      <c r="B4" s="165"/>
      <c r="C4" s="165"/>
      <c r="D4" s="165"/>
      <c r="E4" s="165"/>
      <c r="F4" s="165"/>
      <c r="G4" s="166"/>
    </row>
    <row r="5" spans="1:7" ht="13.5" customHeight="1">
      <c r="A5" s="6"/>
      <c r="B5" s="7"/>
      <c r="C5" s="7"/>
      <c r="D5" s="49" t="str">
        <f>Mode</f>
        <v>SAMPLE COMPUTATION ONLY</v>
      </c>
      <c r="E5" s="7"/>
      <c r="F5" s="7"/>
      <c r="G5" s="9"/>
    </row>
    <row r="6" ht="13.5" customHeight="1">
      <c r="G6" s="50">
        <v>24</v>
      </c>
    </row>
    <row r="7" spans="1:7" ht="12.75">
      <c r="A7" s="11" t="s">
        <v>3</v>
      </c>
      <c r="B7" s="11" t="s">
        <v>4</v>
      </c>
      <c r="C7" s="11" t="s">
        <v>5</v>
      </c>
      <c r="D7" s="11" t="s">
        <v>6</v>
      </c>
      <c r="E7" s="11"/>
      <c r="F7" s="167" t="s">
        <v>7</v>
      </c>
      <c r="G7" s="167"/>
    </row>
    <row r="8" spans="1:7" ht="12.75">
      <c r="A8" s="12">
        <f>Tower</f>
        <v>1</v>
      </c>
      <c r="B8" s="12">
        <f>Unit</f>
        <v>431</v>
      </c>
      <c r="C8" s="12">
        <f>Floor</f>
        <v>4</v>
      </c>
      <c r="D8" s="12">
        <f>FloorArea</f>
        <v>23.4</v>
      </c>
      <c r="E8" s="12"/>
      <c r="F8" s="168" t="str">
        <f>'10-10-36 BANK'!F7</f>
        <v>STUDIO</v>
      </c>
      <c r="G8" s="168"/>
    </row>
    <row r="11" spans="1:7" ht="12.75">
      <c r="A11" s="169" t="s">
        <v>96</v>
      </c>
      <c r="B11" s="170"/>
      <c r="C11" s="170"/>
      <c r="D11" s="170"/>
      <c r="E11" s="170"/>
      <c r="F11" s="170"/>
      <c r="G11" s="171"/>
    </row>
    <row r="12" spans="1:7" ht="12.75">
      <c r="A12" s="51"/>
      <c r="B12" s="52" t="s">
        <v>97</v>
      </c>
      <c r="C12" s="51"/>
      <c r="D12" s="51"/>
      <c r="E12" s="51"/>
      <c r="F12" s="51"/>
      <c r="G12" s="53">
        <f>('10-10-36 BANK'!G24+'10-10-36 BANK'!G25)-'10-10-36 BANK'!G33</f>
        <v>4017696.0016</v>
      </c>
    </row>
    <row r="13" spans="1:7" ht="12.75">
      <c r="A13" s="51"/>
      <c r="B13" s="54" t="s">
        <v>26</v>
      </c>
      <c r="C13" s="51"/>
      <c r="D13" s="51"/>
      <c r="E13" s="51"/>
      <c r="F13" s="51"/>
      <c r="G13" s="53">
        <f>'10-10-36 BANK'!G29-'10-10-36 BANK'!G34</f>
        <v>335106</v>
      </c>
    </row>
    <row r="14" spans="1:7" ht="12.75">
      <c r="A14" s="51"/>
      <c r="B14" s="51" t="s">
        <v>98</v>
      </c>
      <c r="C14" s="51"/>
      <c r="D14" s="51"/>
      <c r="E14" s="51"/>
      <c r="F14" s="44">
        <f>'10-10-36 BANK'!F99</f>
        <v>45369</v>
      </c>
      <c r="G14" s="55">
        <f>SUM(G12:G13)</f>
        <v>4352802.0016</v>
      </c>
    </row>
    <row r="15" ht="12.75">
      <c r="A15" s="26"/>
    </row>
    <row r="16" spans="1:8" s="26" customFormat="1" ht="12.75">
      <c r="A16" s="56" t="s">
        <v>99</v>
      </c>
      <c r="B16" s="56" t="s">
        <v>100</v>
      </c>
      <c r="C16" s="56" t="s">
        <v>101</v>
      </c>
      <c r="D16" s="56" t="s">
        <v>102</v>
      </c>
      <c r="E16" s="56" t="s">
        <v>103</v>
      </c>
      <c r="F16" s="56" t="s">
        <v>38</v>
      </c>
      <c r="G16" s="56" t="s">
        <v>104</v>
      </c>
      <c r="H16" s="23"/>
    </row>
    <row r="17" spans="1:8" ht="12.75">
      <c r="A17" s="57" t="s">
        <v>105</v>
      </c>
      <c r="B17" s="58">
        <v>0.065</v>
      </c>
      <c r="C17" s="59">
        <f>-ROUND(PMT(B17/12,60,1),7)</f>
        <v>0.0195661</v>
      </c>
      <c r="D17" s="60">
        <f>DATE(YEAR(F14),MONTH(F14)+1,DAY(F14))</f>
        <v>45400</v>
      </c>
      <c r="E17" s="60">
        <f>DATE(YEAR(F14)+5,MONTH(F14),DAY(F14))</f>
        <v>47195</v>
      </c>
      <c r="F17" s="61">
        <f>ROUND($G$14*C17,2)</f>
        <v>85167.36</v>
      </c>
      <c r="G17" s="62">
        <f>F17/40%</f>
        <v>212918.4</v>
      </c>
      <c r="H17" s="63"/>
    </row>
    <row r="18" spans="1:7" ht="12.75">
      <c r="A18" s="57" t="s">
        <v>106</v>
      </c>
      <c r="B18" s="58">
        <v>0.085</v>
      </c>
      <c r="C18" s="59">
        <f>-ROUND(PMT(B18/12,120,1),7)</f>
        <v>0.0123986</v>
      </c>
      <c r="D18" s="60">
        <f>D17</f>
        <v>45400</v>
      </c>
      <c r="E18" s="60">
        <f>DATE(YEAR($F$14)+10,MONTH($F$14),DAY($F$14))</f>
        <v>49021</v>
      </c>
      <c r="F18" s="61">
        <f>ROUND($G$14*C18,2)</f>
        <v>53968.65</v>
      </c>
      <c r="G18" s="62">
        <f>F18/40%</f>
        <v>134921.625</v>
      </c>
    </row>
    <row r="19" spans="1:7" ht="12.75">
      <c r="A19" s="57" t="s">
        <v>107</v>
      </c>
      <c r="B19" s="58">
        <v>0.0925</v>
      </c>
      <c r="C19" s="59">
        <f>-ROUND(PMT(B19/12,180,1),7)</f>
        <v>0.0102919</v>
      </c>
      <c r="D19" s="60">
        <f>D18</f>
        <v>45400</v>
      </c>
      <c r="E19" s="60">
        <f>DATE(YEAR($F$14)+15,MONTH($F$14),DAY($F$14))</f>
        <v>50847</v>
      </c>
      <c r="F19" s="61">
        <f>ROUND($G$14*C19,2)</f>
        <v>44798.6</v>
      </c>
      <c r="G19" s="62">
        <f>F19/40%</f>
        <v>111996.49999999999</v>
      </c>
    </row>
    <row r="20" spans="1:7" ht="12.75">
      <c r="A20" s="57" t="s">
        <v>108</v>
      </c>
      <c r="B20" s="58">
        <v>0.0975</v>
      </c>
      <c r="C20" s="59">
        <f>-ROUND(PMT(B20/12,240,1),7)</f>
        <v>0.0094852</v>
      </c>
      <c r="D20" s="60">
        <f>D19</f>
        <v>45400</v>
      </c>
      <c r="E20" s="60">
        <f>DATE(YEAR($F$14)+20,MONTH($F$14),DAY($F$14))</f>
        <v>52674</v>
      </c>
      <c r="F20" s="61">
        <f>ROUND($G$14*C20,2)</f>
        <v>41287.2</v>
      </c>
      <c r="G20" s="62">
        <f>F20/40%</f>
        <v>103217.99999999999</v>
      </c>
    </row>
    <row r="21" spans="1:7" ht="12.75">
      <c r="A21" s="57" t="s">
        <v>109</v>
      </c>
      <c r="B21" s="58">
        <v>0.0975</v>
      </c>
      <c r="C21" s="59">
        <f>-ROUND(PMT(B21/12,300,1),7)</f>
        <v>0.0089114</v>
      </c>
      <c r="D21" s="60">
        <f>D20</f>
        <v>45400</v>
      </c>
      <c r="E21" s="60">
        <f>DATE(YEAR($F$14)+25,MONTH($F$14),DAY($F$14))</f>
        <v>54500</v>
      </c>
      <c r="F21" s="61">
        <f>ROUND($G$14*C21,2)</f>
        <v>38789.56</v>
      </c>
      <c r="G21" s="62">
        <f>F21/40%</f>
        <v>96973.9</v>
      </c>
    </row>
    <row r="22" spans="2:7" ht="12.75">
      <c r="B22" s="54"/>
      <c r="G22" s="23"/>
    </row>
    <row r="23" spans="1:7" ht="12.75">
      <c r="A23" s="169" t="s">
        <v>110</v>
      </c>
      <c r="B23" s="170"/>
      <c r="C23" s="170"/>
      <c r="D23" s="170"/>
      <c r="E23" s="170"/>
      <c r="F23" s="170"/>
      <c r="G23" s="171"/>
    </row>
    <row r="24" spans="1:7" ht="12.75">
      <c r="A24" s="64"/>
      <c r="B24" s="54"/>
      <c r="D24" s="65"/>
      <c r="E24" s="44"/>
      <c r="F24" s="44"/>
      <c r="G24" s="23"/>
    </row>
    <row r="25" spans="1:7" ht="12.75">
      <c r="A25" s="176" t="str">
        <f>"5 Years In-house Financing with Remaining "&amp;A26&amp;"months at "&amp;ROUND(A30*100,2)&amp;"% interest"</f>
        <v>5 Years In-house Financing with Remaining 23months at 12% interest</v>
      </c>
      <c r="B25" s="177"/>
      <c r="C25" s="177"/>
      <c r="D25" s="177"/>
      <c r="E25" s="177"/>
      <c r="F25" s="177"/>
      <c r="G25" s="178"/>
    </row>
    <row r="26" spans="1:7" ht="12.75">
      <c r="A26" s="66">
        <f>60-A28</f>
        <v>23</v>
      </c>
      <c r="B26" s="52" t="s">
        <v>97</v>
      </c>
      <c r="C26" s="67"/>
      <c r="D26" s="68"/>
      <c r="E26" s="69"/>
      <c r="F26" s="69"/>
      <c r="G26" s="70">
        <f>G12</f>
        <v>4017696.0016</v>
      </c>
    </row>
    <row r="27" spans="1:7" ht="12.75">
      <c r="A27" s="71">
        <f>60-A28</f>
        <v>23</v>
      </c>
      <c r="B27" s="54" t="s">
        <v>26</v>
      </c>
      <c r="D27" s="65"/>
      <c r="E27" s="44"/>
      <c r="F27" s="44"/>
      <c r="G27" s="72">
        <f>ROUND(('10-10-36 BANK'!G24*8%)+'10-10-36 BANK'!F27+ACServiceFee-'10-10-36 BANK'!G34,2)</f>
        <v>274946.36</v>
      </c>
    </row>
    <row r="28" spans="1:7" ht="12.75">
      <c r="A28" s="71">
        <f>NoDPSchedule+1</f>
        <v>37</v>
      </c>
      <c r="B28" s="73" t="s">
        <v>111</v>
      </c>
      <c r="D28" s="65"/>
      <c r="E28" s="44"/>
      <c r="F28" s="44"/>
      <c r="G28" s="74">
        <f>SUM(G26:G27)</f>
        <v>4292642.3616</v>
      </c>
    </row>
    <row r="29" spans="1:7" ht="12.75">
      <c r="A29" s="71"/>
      <c r="B29" s="73"/>
      <c r="D29" s="65"/>
      <c r="E29" s="44"/>
      <c r="F29" s="44"/>
      <c r="G29" s="74"/>
    </row>
    <row r="30" spans="1:7" ht="12.75">
      <c r="A30" s="75">
        <v>0.12</v>
      </c>
      <c r="B30" s="54" t="s">
        <v>101</v>
      </c>
      <c r="C30" s="65">
        <f>-ROUND(PMT(A30/12,A26,1),7)</f>
        <v>0.0488858</v>
      </c>
      <c r="D30" s="65"/>
      <c r="E30" s="43"/>
      <c r="F30" s="44"/>
      <c r="G30" s="74"/>
    </row>
    <row r="31" spans="1:7" ht="12.75">
      <c r="A31" s="75"/>
      <c r="B31" s="54" t="s">
        <v>104</v>
      </c>
      <c r="C31" s="76">
        <f>E34/40%</f>
        <v>520906.175</v>
      </c>
      <c r="D31" s="65"/>
      <c r="E31" s="43"/>
      <c r="F31" s="44"/>
      <c r="G31" s="74"/>
    </row>
    <row r="32" spans="1:7" ht="12.75">
      <c r="A32" s="179" t="s">
        <v>112</v>
      </c>
      <c r="B32" s="180"/>
      <c r="C32" s="183" t="s">
        <v>113</v>
      </c>
      <c r="D32" s="183" t="s">
        <v>26</v>
      </c>
      <c r="E32" s="183" t="s">
        <v>114</v>
      </c>
      <c r="F32" s="160" t="s">
        <v>115</v>
      </c>
      <c r="G32" s="161"/>
    </row>
    <row r="33" spans="1:7" ht="12.75">
      <c r="A33" s="181"/>
      <c r="B33" s="182"/>
      <c r="C33" s="184"/>
      <c r="D33" s="184"/>
      <c r="E33" s="184"/>
      <c r="F33" s="77" t="s">
        <v>102</v>
      </c>
      <c r="G33" s="77" t="s">
        <v>103</v>
      </c>
    </row>
    <row r="34" spans="1:10" ht="12.75">
      <c r="A34" s="172" t="str">
        <f>CONCATENATE(A28+2,"th-59th Payment")</f>
        <v>39th-59th Payment</v>
      </c>
      <c r="B34" s="173"/>
      <c r="C34" s="78">
        <f>ROUND((G26*C30),2)</f>
        <v>196408.28</v>
      </c>
      <c r="D34" s="79">
        <f>ROUND(G27/A27,2)</f>
        <v>11954.19</v>
      </c>
      <c r="E34" s="80">
        <f>SUM(C34:D34)</f>
        <v>208362.47</v>
      </c>
      <c r="F34" s="60">
        <f>D17</f>
        <v>45400</v>
      </c>
      <c r="G34" s="81">
        <f>DATE(YEAR(F34),MONTH(F34)+(60-A28-3),DAY(F34))</f>
        <v>46009</v>
      </c>
      <c r="I34" s="44"/>
      <c r="J34" s="82"/>
    </row>
    <row r="35" spans="1:10" ht="12.75">
      <c r="A35" s="174" t="s">
        <v>116</v>
      </c>
      <c r="B35" s="175"/>
      <c r="C35" s="78">
        <f>C34</f>
        <v>196408.28</v>
      </c>
      <c r="D35" s="79">
        <f>G27-(D34*(A27-1))</f>
        <v>11954.179999999993</v>
      </c>
      <c r="E35" s="80">
        <f>SUM(C35:D35)</f>
        <v>208362.46</v>
      </c>
      <c r="F35" s="81">
        <f>DATE(YEAR(F34),MONTH(F34)+(60-A28-2),DAY(F34))</f>
        <v>46040</v>
      </c>
      <c r="G35" s="81"/>
      <c r="I35" s="82"/>
      <c r="J35" s="82"/>
    </row>
    <row r="36" spans="1:7" ht="12.75">
      <c r="A36" s="26"/>
      <c r="B36" s="73"/>
      <c r="D36" s="65"/>
      <c r="E36" s="44"/>
      <c r="F36" s="44"/>
      <c r="G36" s="23"/>
    </row>
    <row r="37" spans="1:4" ht="12.75">
      <c r="A37" s="32" t="s">
        <v>80</v>
      </c>
      <c r="B37" s="46"/>
      <c r="C37" s="46"/>
      <c r="D37" s="46"/>
    </row>
    <row r="38" spans="1:7" ht="12.75">
      <c r="A38" s="158" t="str">
        <f>'10-10-36 BANK'!A103</f>
        <v>1.   In the event of an increase in Other Charges, AYALA LAND INC. has the right to charge the</v>
      </c>
      <c r="B38" s="158"/>
      <c r="C38" s="158"/>
      <c r="D38" s="158"/>
      <c r="E38" s="158"/>
      <c r="F38" s="158"/>
      <c r="G38" s="158"/>
    </row>
    <row r="39" spans="1:4" ht="12.75">
      <c r="A39" s="46" t="str">
        <f>'10-10-36 BANK'!A104</f>
        <v>      Purchaser as mandated in the CTS &amp; DAS.</v>
      </c>
      <c r="B39" s="46"/>
      <c r="C39" s="46"/>
      <c r="D39" s="46"/>
    </row>
    <row r="40" spans="1:10" ht="12.75">
      <c r="A40" s="46" t="str">
        <f>'10-10-36 BANK'!A105</f>
        <v>2.   Discounts are conditioned upon the Buyer’s  timely compliance with all his obligations, including </v>
      </c>
      <c r="B40" s="46"/>
      <c r="C40" s="46"/>
      <c r="D40" s="46"/>
      <c r="J40" s="44"/>
    </row>
    <row r="41" spans="1:10" ht="12.75">
      <c r="A41" s="46" t="str">
        <f>'10-10-36 BANK'!A106</f>
        <v>      payments and transmittal of required documents.</v>
      </c>
      <c r="B41" s="46"/>
      <c r="C41" s="46"/>
      <c r="D41" s="46"/>
      <c r="J41" s="44"/>
    </row>
    <row r="42" spans="1:10" ht="12.75">
      <c r="A42" s="47" t="str">
        <f>'10-10-36 BANK'!A107</f>
        <v>3.   Delay in any payment is an event of default entitling the Seller to exercise remedial options, which include collection of </v>
      </c>
      <c r="B42" s="46"/>
      <c r="C42" s="46"/>
      <c r="D42" s="46"/>
      <c r="J42" s="44"/>
    </row>
    <row r="43" spans="1:10" ht="12.75">
      <c r="A43" s="47" t="str">
        <f>'10-10-36 BANK'!A108</f>
        <v>      penalty  at the rate of two percent (2%) of the unpaid amount for every month (or a fraction thereof) of delay as </v>
      </c>
      <c r="B43" s="46"/>
      <c r="C43" s="46"/>
      <c r="D43" s="46"/>
      <c r="J43" s="44"/>
    </row>
    <row r="44" spans="1:10" ht="12.75">
      <c r="A44" s="47" t="str">
        <f>'10-10-36 BANK'!A109</f>
        <v>      specified under Sec 4(ii) of the RA and Sec 4.2 of the CTS</v>
      </c>
      <c r="B44" s="46"/>
      <c r="C44" s="46"/>
      <c r="D44" s="46"/>
      <c r="J44" s="44"/>
    </row>
    <row r="45" spans="1:10" ht="12.75">
      <c r="A45" s="47" t="str">
        <f>'10-10-36 BANK'!A110</f>
        <v>4.   For Bank Financing Program, Buyer is required to issue a guarantee check covering the lump-sum payment.  Upon</v>
      </c>
      <c r="B45" s="46"/>
      <c r="C45" s="46"/>
      <c r="D45" s="46"/>
      <c r="J45" s="44"/>
    </row>
    <row r="46" spans="1:10" ht="12.75">
      <c r="A46" s="47" t="str">
        <f>'10-10-36 BANK'!A111</f>
        <v>      Seller’s receipt of the bank guarantee, the relevant guarantee check(s) covered thereby shall be returned to the Buyer.</v>
      </c>
      <c r="B46" s="46"/>
      <c r="C46" s="46"/>
      <c r="D46" s="46"/>
      <c r="J46" s="44"/>
    </row>
    <row r="47" spans="1:10" ht="12.75">
      <c r="A47" s="158" t="str">
        <f>'10-10-36 BANK'!A112</f>
        <v>5.   All payments covering the due dates and amounts above should be made payable to AYALA LAND INC.</v>
      </c>
      <c r="B47" s="158"/>
      <c r="C47" s="158"/>
      <c r="D47" s="158"/>
      <c r="E47" s="158"/>
      <c r="F47" s="158"/>
      <c r="G47" s="158"/>
      <c r="J47" s="44"/>
    </row>
    <row r="48" spans="1:10" ht="12.75">
      <c r="A48" s="158"/>
      <c r="B48" s="158"/>
      <c r="C48" s="158"/>
      <c r="D48" s="158"/>
      <c r="E48" s="158"/>
      <c r="F48" s="158"/>
      <c r="G48" s="158"/>
      <c r="J48" s="44"/>
    </row>
    <row r="49" spans="1:10" ht="12.75">
      <c r="A49" s="159"/>
      <c r="B49" s="159"/>
      <c r="C49" s="159"/>
      <c r="D49" s="159"/>
      <c r="E49" s="159"/>
      <c r="F49" s="159"/>
      <c r="G49" s="159"/>
      <c r="J49" s="44"/>
    </row>
    <row r="50" ht="12.75">
      <c r="J50" s="44"/>
    </row>
    <row r="51" ht="12.75">
      <c r="J51" s="44"/>
    </row>
    <row r="52" spans="1:10" ht="12.75">
      <c r="A52" s="1" t="s">
        <v>89</v>
      </c>
      <c r="E52" s="1" t="s">
        <v>90</v>
      </c>
      <c r="J52" s="44"/>
    </row>
    <row r="53" ht="12.75">
      <c r="J53" s="44"/>
    </row>
    <row r="54" ht="12.75">
      <c r="J54" s="44"/>
    </row>
    <row r="55" spans="1:10" ht="12.75">
      <c r="A55" s="48"/>
      <c r="B55" s="48"/>
      <c r="C55" s="48"/>
      <c r="E55" s="48"/>
      <c r="F55" s="48"/>
      <c r="G55" s="48"/>
      <c r="J55" s="44"/>
    </row>
    <row r="56" spans="1:10" ht="12.75">
      <c r="A56" s="1" t="s">
        <v>91</v>
      </c>
      <c r="E56" s="1" t="s">
        <v>91</v>
      </c>
      <c r="J56" s="44"/>
    </row>
    <row r="57" spans="1:10" ht="12.75">
      <c r="A57" s="1" t="s">
        <v>92</v>
      </c>
      <c r="E57" s="1" t="s">
        <v>93</v>
      </c>
      <c r="J57" s="44"/>
    </row>
    <row r="58" ht="12.75">
      <c r="J58" s="44"/>
    </row>
    <row r="59" ht="12.75">
      <c r="J59" s="44"/>
    </row>
    <row r="60" spans="1:10" ht="12.75">
      <c r="A60" s="1" t="s">
        <v>94</v>
      </c>
      <c r="J60" s="44"/>
    </row>
    <row r="61" ht="12.75">
      <c r="J61" s="44"/>
    </row>
    <row r="62" ht="12.75">
      <c r="J62" s="44"/>
    </row>
    <row r="63" spans="1:10" ht="12.75">
      <c r="A63" s="48"/>
      <c r="B63" s="48"/>
      <c r="C63" s="48"/>
      <c r="J63" s="44"/>
    </row>
    <row r="64" spans="1:10" ht="12.75">
      <c r="A64" s="1" t="s">
        <v>91</v>
      </c>
      <c r="J64" s="44"/>
    </row>
    <row r="65" spans="1:10" ht="12.75">
      <c r="A65" s="1" t="s">
        <v>95</v>
      </c>
      <c r="J65" s="44"/>
    </row>
    <row r="66" ht="12.75">
      <c r="J66" s="44"/>
    </row>
    <row r="67" ht="12.75">
      <c r="J67" s="44"/>
    </row>
    <row r="68" ht="12.75">
      <c r="J68" s="44"/>
    </row>
    <row r="69" ht="12.75">
      <c r="J69" s="44"/>
    </row>
    <row r="70" ht="12.75">
      <c r="J70" s="44"/>
    </row>
    <row r="71" ht="12.75">
      <c r="J71" s="44"/>
    </row>
    <row r="72" ht="12.75">
      <c r="J72" s="44"/>
    </row>
    <row r="73" ht="12.75">
      <c r="J73" s="44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spans="9:10" ht="12.75">
      <c r="I78" s="83"/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spans="9:10" ht="12.75">
      <c r="I101" s="83"/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spans="9:10" ht="12.75">
      <c r="I125" s="83"/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spans="9:10" ht="12.75">
      <c r="I161" s="83"/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</sheetData>
  <sheetProtection/>
  <mergeCells count="19">
    <mergeCell ref="A35:B35"/>
    <mergeCell ref="A38:G38"/>
    <mergeCell ref="A47:G47"/>
    <mergeCell ref="A23:G23"/>
    <mergeCell ref="A25:G25"/>
    <mergeCell ref="A32:B33"/>
    <mergeCell ref="C32:C33"/>
    <mergeCell ref="D32:D33"/>
    <mergeCell ref="E32:E33"/>
    <mergeCell ref="A48:G48"/>
    <mergeCell ref="A49:G49"/>
    <mergeCell ref="F32:G32"/>
    <mergeCell ref="B2:F2"/>
    <mergeCell ref="B3:F3"/>
    <mergeCell ref="A4:G4"/>
    <mergeCell ref="F7:G7"/>
    <mergeCell ref="F8:G8"/>
    <mergeCell ref="A11:G11"/>
    <mergeCell ref="A34:B34"/>
  </mergeCells>
  <conditionalFormatting sqref="A32:C33">
    <cfRule type="expression" priority="1" dxfId="27" stopIfTrue="1">
      <formula>VALUE(NoDPSchedule)&lt;VALUE(LEFT(A32,2))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D16" sqref="D16"/>
    </sheetView>
  </sheetViews>
  <sheetFormatPr defaultColWidth="12.375" defaultRowHeight="12.75" customHeight="1"/>
  <cols>
    <col min="1" max="5" width="12.375" style="86" customWidth="1"/>
    <col min="6" max="6" width="14.375" style="86" customWidth="1"/>
    <col min="7" max="7" width="18.875" style="86" customWidth="1"/>
    <col min="8" max="9" width="15.00390625" style="86" customWidth="1"/>
    <col min="10" max="10" width="14.125" style="86" customWidth="1"/>
    <col min="11" max="16384" width="12.375" style="86" customWidth="1"/>
  </cols>
  <sheetData>
    <row r="1" spans="1:7" ht="14.25" customHeight="1" thickTop="1">
      <c r="A1" s="84" t="s">
        <v>134</v>
      </c>
      <c r="B1" s="187" t="s">
        <v>0</v>
      </c>
      <c r="C1" s="187"/>
      <c r="D1" s="187"/>
      <c r="E1" s="187"/>
      <c r="F1" s="187"/>
      <c r="G1" s="85"/>
    </row>
    <row r="2" spans="1:7" ht="14.25" customHeight="1">
      <c r="A2" s="87"/>
      <c r="B2" s="188" t="s">
        <v>1</v>
      </c>
      <c r="C2" s="188"/>
      <c r="D2" s="188"/>
      <c r="E2" s="188"/>
      <c r="F2" s="188"/>
      <c r="G2" s="88"/>
    </row>
    <row r="3" spans="1:7" ht="30" customHeight="1">
      <c r="A3" s="189" t="s">
        <v>2</v>
      </c>
      <c r="B3" s="190"/>
      <c r="C3" s="190"/>
      <c r="D3" s="190"/>
      <c r="E3" s="190"/>
      <c r="F3" s="190"/>
      <c r="G3" s="191"/>
    </row>
    <row r="4" spans="1:7" ht="13.5" customHeight="1" thickBot="1">
      <c r="A4" s="89"/>
      <c r="B4" s="90"/>
      <c r="C4" s="90"/>
      <c r="D4" s="91" t="s">
        <v>135</v>
      </c>
      <c r="E4" s="90"/>
      <c r="F4" s="90"/>
      <c r="G4" s="92"/>
    </row>
    <row r="5" ht="13.5" customHeight="1" thickTop="1">
      <c r="G5" s="93"/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94" t="s">
        <v>7</v>
      </c>
      <c r="G6" s="94"/>
    </row>
    <row r="7" spans="1:7" ht="12.75">
      <c r="A7" s="95">
        <v>1</v>
      </c>
      <c r="B7" s="95">
        <v>431</v>
      </c>
      <c r="C7" s="95">
        <v>4</v>
      </c>
      <c r="D7" s="95">
        <v>23.4</v>
      </c>
      <c r="E7" s="95"/>
      <c r="F7" s="95" t="s">
        <v>141</v>
      </c>
      <c r="G7" s="95"/>
    </row>
    <row r="9" spans="1:7" ht="12.75" customHeight="1">
      <c r="A9" s="157"/>
      <c r="B9" s="157"/>
      <c r="C9" s="157"/>
      <c r="D9" s="157"/>
      <c r="E9" s="157"/>
      <c r="F9" s="157"/>
      <c r="G9" s="157"/>
    </row>
    <row r="10" spans="1:7" ht="12.75">
      <c r="A10" s="96" t="s">
        <v>10</v>
      </c>
      <c r="B10" s="96"/>
      <c r="C10" s="97"/>
      <c r="D10" s="98"/>
      <c r="E10" s="98"/>
      <c r="F10" s="99" t="s">
        <v>11</v>
      </c>
      <c r="G10" s="100">
        <v>5438000</v>
      </c>
    </row>
    <row r="11" spans="1:7" ht="12.75">
      <c r="A11" s="86" t="s">
        <v>12</v>
      </c>
      <c r="B11" s="86" t="s">
        <v>13</v>
      </c>
      <c r="C11" s="101"/>
      <c r="F11" s="102"/>
      <c r="G11" s="103">
        <f>ROUND(IF(ISERROR(FIND("PARKING",Model,1)),IF(SellingPrice&gt;3199200,(G10-(G10/1.12)),0),(G10-(G10/1.12))),2)</f>
        <v>582642.86</v>
      </c>
    </row>
    <row r="12" spans="1:10" ht="13.5" customHeight="1">
      <c r="A12" s="93">
        <v>10</v>
      </c>
      <c r="B12" s="86" t="str">
        <f>CONCATENATE(A12,"% Spot Cash Discount")</f>
        <v>10% Spot Cash Discount</v>
      </c>
      <c r="F12" s="102"/>
      <c r="G12" s="104">
        <f>((G10-G11)-Discount2Value)*(PercentageDiscount/100)</f>
        <v>485535.714</v>
      </c>
      <c r="I12" s="104"/>
      <c r="J12" s="104"/>
    </row>
    <row r="13" spans="2:10" ht="12.75" hidden="1">
      <c r="B13" s="86" t="s">
        <v>14</v>
      </c>
      <c r="G13" s="104">
        <v>0</v>
      </c>
      <c r="I13" s="104"/>
      <c r="J13" s="104"/>
    </row>
    <row r="14" spans="2:10" ht="12.75" hidden="1">
      <c r="B14" s="86" t="s">
        <v>15</v>
      </c>
      <c r="G14" s="104">
        <v>0</v>
      </c>
      <c r="I14" s="104"/>
      <c r="J14" s="104"/>
    </row>
    <row r="15" spans="2:9" ht="12.75" hidden="1">
      <c r="B15" s="86" t="s">
        <v>16</v>
      </c>
      <c r="G15" s="104">
        <v>0</v>
      </c>
      <c r="I15" s="104"/>
    </row>
    <row r="16" spans="2:9" ht="12.75">
      <c r="B16" s="86" t="s">
        <v>17</v>
      </c>
      <c r="D16" s="112" t="s">
        <v>142</v>
      </c>
      <c r="G16" s="104">
        <v>100000</v>
      </c>
      <c r="I16" s="104"/>
    </row>
    <row r="17" spans="2:9" ht="12.75" hidden="1">
      <c r="B17" s="86" t="s">
        <v>18</v>
      </c>
      <c r="G17" s="104">
        <v>0</v>
      </c>
      <c r="I17" s="104"/>
    </row>
    <row r="18" spans="2:10" ht="12.75" hidden="1">
      <c r="B18" s="86" t="s">
        <v>19</v>
      </c>
      <c r="G18" s="104">
        <v>0</v>
      </c>
      <c r="H18" s="104"/>
      <c r="I18" s="104"/>
      <c r="J18" s="104"/>
    </row>
    <row r="19" spans="2:10" ht="12.75" hidden="1">
      <c r="B19" s="86" t="s">
        <v>20</v>
      </c>
      <c r="G19" s="104">
        <v>0</v>
      </c>
      <c r="J19" s="104"/>
    </row>
    <row r="20" spans="2:10" ht="12.75">
      <c r="B20" s="86" t="s">
        <v>143</v>
      </c>
      <c r="G20" s="104">
        <f>(SellingPrice-G11)*6%</f>
        <v>291321.4284</v>
      </c>
      <c r="J20" s="104"/>
    </row>
    <row r="21" spans="2:10" ht="12.75" hidden="1">
      <c r="B21" s="86" t="s">
        <v>22</v>
      </c>
      <c r="G21" s="104">
        <v>0</v>
      </c>
      <c r="J21" s="104"/>
    </row>
    <row r="22" spans="2:10" ht="12.75" hidden="1">
      <c r="B22" s="86" t="s">
        <v>23</v>
      </c>
      <c r="G22" s="104">
        <v>0</v>
      </c>
      <c r="J22" s="104"/>
    </row>
    <row r="23" spans="6:10" ht="13.5" customHeight="1" thickBot="1">
      <c r="F23" s="102"/>
      <c r="G23" s="105"/>
      <c r="J23" s="104"/>
    </row>
    <row r="24" spans="1:7" ht="13.5" customHeight="1" thickTop="1">
      <c r="A24" s="96" t="s">
        <v>121</v>
      </c>
      <c r="B24" s="106"/>
      <c r="C24" s="98"/>
      <c r="D24" s="98"/>
      <c r="E24" s="98"/>
      <c r="F24" s="99" t="s">
        <v>11</v>
      </c>
      <c r="G24" s="107">
        <f>(G10-G11)-SUM(G12:G22)</f>
        <v>3978499.9976</v>
      </c>
    </row>
    <row r="25" spans="1:7" ht="12.75">
      <c r="A25" s="86" t="s">
        <v>25</v>
      </c>
      <c r="B25" s="86" t="s">
        <v>13</v>
      </c>
      <c r="G25" s="104">
        <f>ROUND(IF(ISERROR(FIND("PARKING",F7,1)),IF(G24&gt;3199200,G24*12%,0),G24*12%),2)</f>
        <v>477420</v>
      </c>
    </row>
    <row r="26" spans="1:7" ht="12.75" hidden="1">
      <c r="A26" s="93">
        <v>6</v>
      </c>
      <c r="B26" s="86" t="s">
        <v>26</v>
      </c>
      <c r="G26" s="104">
        <f>ROUND(G24*(A26/100),2)</f>
        <v>238710</v>
      </c>
    </row>
    <row r="27" spans="1:7" ht="12.75" hidden="1">
      <c r="A27" s="93"/>
      <c r="B27" s="86" t="s">
        <v>27</v>
      </c>
      <c r="F27" s="93">
        <f>IF(G27&gt;50000,50000,G27)</f>
        <v>0</v>
      </c>
      <c r="G27" s="104">
        <v>0</v>
      </c>
    </row>
    <row r="28" spans="1:7" ht="12.75" hidden="1">
      <c r="A28" s="93"/>
      <c r="B28" s="86" t="s">
        <v>28</v>
      </c>
      <c r="G28" s="104">
        <v>0</v>
      </c>
    </row>
    <row r="29" spans="1:7" ht="13.5" customHeight="1" thickBot="1">
      <c r="A29" s="93"/>
      <c r="B29" s="86" t="s">
        <v>26</v>
      </c>
      <c r="G29" s="104">
        <f>ROUND(SUM(G26,G28,F27),2)</f>
        <v>238710</v>
      </c>
    </row>
    <row r="30" spans="1:7" ht="13.5" customHeight="1" thickTop="1">
      <c r="A30" s="96" t="s">
        <v>29</v>
      </c>
      <c r="B30" s="98"/>
      <c r="C30" s="98"/>
      <c r="D30" s="98"/>
      <c r="E30" s="98"/>
      <c r="F30" s="99" t="s">
        <v>11</v>
      </c>
      <c r="G30" s="107">
        <f>G24+SUM(G25,G29)</f>
        <v>4694629.9976</v>
      </c>
    </row>
    <row r="31" spans="1:7" ht="13.5" customHeight="1" thickBot="1">
      <c r="A31" s="86" t="s">
        <v>12</v>
      </c>
      <c r="B31" s="86" t="s">
        <v>33</v>
      </c>
      <c r="E31" s="108">
        <f ca="1">NOW()</f>
        <v>44211.750529398145</v>
      </c>
      <c r="G31" s="104">
        <v>20000</v>
      </c>
    </row>
    <row r="32" spans="1:7" ht="13.5" customHeight="1" thickTop="1">
      <c r="A32" s="109" t="s">
        <v>136</v>
      </c>
      <c r="B32" s="98"/>
      <c r="C32" s="98"/>
      <c r="D32" s="98"/>
      <c r="E32" s="156">
        <f>ReservationDate+19</f>
        <v>44230.750529398145</v>
      </c>
      <c r="F32" s="99" t="s">
        <v>11</v>
      </c>
      <c r="G32" s="107">
        <f>G30-G31</f>
        <v>4674629.9976</v>
      </c>
    </row>
    <row r="33" spans="1:3" ht="12.75">
      <c r="A33" s="93"/>
      <c r="B33" s="93"/>
      <c r="C33" s="110">
        <v>20</v>
      </c>
    </row>
    <row r="34" spans="1:4" ht="12.75">
      <c r="A34" s="111" t="s">
        <v>80</v>
      </c>
      <c r="B34" s="112"/>
      <c r="C34" s="112"/>
      <c r="D34" s="112"/>
    </row>
    <row r="35" spans="1:7" ht="12.75">
      <c r="A35" s="185" t="s">
        <v>137</v>
      </c>
      <c r="B35" s="185"/>
      <c r="C35" s="185"/>
      <c r="D35" s="185"/>
      <c r="E35" s="185"/>
      <c r="F35" s="185"/>
      <c r="G35" s="185"/>
    </row>
    <row r="36" spans="1:4" ht="12.75">
      <c r="A36" s="112" t="s">
        <v>81</v>
      </c>
      <c r="B36" s="112"/>
      <c r="C36" s="112"/>
      <c r="D36" s="112"/>
    </row>
    <row r="37" spans="1:4" ht="12.75">
      <c r="A37" s="112" t="s">
        <v>82</v>
      </c>
      <c r="B37" s="112"/>
      <c r="C37" s="112"/>
      <c r="D37" s="112"/>
    </row>
    <row r="38" spans="1:4" ht="12.75">
      <c r="A38" s="112" t="s">
        <v>83</v>
      </c>
      <c r="B38" s="112"/>
      <c r="C38" s="112"/>
      <c r="D38" s="112"/>
    </row>
    <row r="39" spans="1:4" ht="12.75">
      <c r="A39" s="113" t="s">
        <v>84</v>
      </c>
      <c r="B39" s="112"/>
      <c r="C39" s="112"/>
      <c r="D39" s="112"/>
    </row>
    <row r="40" spans="1:4" ht="12.75">
      <c r="A40" s="113" t="s">
        <v>85</v>
      </c>
      <c r="B40" s="112"/>
      <c r="C40" s="112"/>
      <c r="D40" s="112"/>
    </row>
    <row r="41" spans="1:4" ht="12.75">
      <c r="A41" s="113" t="s">
        <v>86</v>
      </c>
      <c r="B41" s="112"/>
      <c r="C41" s="112"/>
      <c r="D41" s="112"/>
    </row>
    <row r="42" spans="1:4" ht="12.75">
      <c r="A42" s="113" t="s">
        <v>87</v>
      </c>
      <c r="B42" s="112"/>
      <c r="C42" s="112"/>
      <c r="D42" s="112"/>
    </row>
    <row r="43" spans="1:4" ht="12.75">
      <c r="A43" s="113" t="s">
        <v>88</v>
      </c>
      <c r="B43" s="112"/>
      <c r="C43" s="112"/>
      <c r="D43" s="112"/>
    </row>
    <row r="44" spans="1:7" ht="12.75">
      <c r="A44" s="185" t="s">
        <v>138</v>
      </c>
      <c r="B44" s="185"/>
      <c r="C44" s="185"/>
      <c r="D44" s="185"/>
      <c r="E44" s="185"/>
      <c r="F44" s="185"/>
      <c r="G44" s="185"/>
    </row>
    <row r="45" spans="1:7" ht="12.75">
      <c r="A45" s="185"/>
      <c r="B45" s="185"/>
      <c r="C45" s="185"/>
      <c r="D45" s="185"/>
      <c r="E45" s="185"/>
      <c r="F45" s="185"/>
      <c r="G45" s="185"/>
    </row>
    <row r="46" spans="1:7" ht="12.75">
      <c r="A46" s="186"/>
      <c r="B46" s="186"/>
      <c r="C46" s="186"/>
      <c r="D46" s="186"/>
      <c r="E46" s="186"/>
      <c r="F46" s="186"/>
      <c r="G46" s="186"/>
    </row>
    <row r="49" spans="1:5" ht="12.75">
      <c r="A49" s="86" t="s">
        <v>89</v>
      </c>
      <c r="E49" s="86" t="s">
        <v>90</v>
      </c>
    </row>
    <row r="52" spans="1:7" ht="12.75">
      <c r="A52" s="114"/>
      <c r="B52" s="114"/>
      <c r="C52" s="114"/>
      <c r="E52" s="114"/>
      <c r="F52" s="114"/>
      <c r="G52" s="114"/>
    </row>
    <row r="53" spans="1:5" ht="12.75">
      <c r="A53" s="86" t="s">
        <v>91</v>
      </c>
      <c r="E53" s="86" t="s">
        <v>91</v>
      </c>
    </row>
    <row r="54" spans="1:5" ht="12.75">
      <c r="A54" s="86" t="s">
        <v>92</v>
      </c>
      <c r="E54" s="86" t="s">
        <v>93</v>
      </c>
    </row>
    <row r="57" ht="12.75">
      <c r="A57" s="86" t="s">
        <v>94</v>
      </c>
    </row>
    <row r="60" spans="1:3" ht="12.75">
      <c r="A60" s="114"/>
      <c r="B60" s="114"/>
      <c r="C60" s="114"/>
    </row>
    <row r="61" ht="12.75">
      <c r="A61" s="86" t="s">
        <v>91</v>
      </c>
    </row>
    <row r="62" ht="12.75">
      <c r="A62" s="86" t="s">
        <v>95</v>
      </c>
    </row>
  </sheetData>
  <sheetProtection/>
  <mergeCells count="7">
    <mergeCell ref="A44:G44"/>
    <mergeCell ref="A45:G45"/>
    <mergeCell ref="A46:G46"/>
    <mergeCell ref="B1:F1"/>
    <mergeCell ref="B2:F2"/>
    <mergeCell ref="A3:G3"/>
    <mergeCell ref="A35:G35"/>
  </mergeCells>
  <conditionalFormatting sqref="B25">
    <cfRule type="expression" priority="1" dxfId="27" stopIfTrue="1">
      <formula>$G$25=0</formula>
    </cfRule>
  </conditionalFormatting>
  <conditionalFormatting sqref="G11 G25">
    <cfRule type="cellIs" priority="2" dxfId="27" operator="equal" stopIfTrue="1">
      <formula>0</formula>
    </cfRule>
  </conditionalFormatting>
  <conditionalFormatting sqref="B11">
    <cfRule type="expression" priority="3" dxfId="27" stopIfTrue="1">
      <formula>$G$11=0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2"/>
  <sheetViews>
    <sheetView zoomScalePageLayoutView="0" workbookViewId="0" topLeftCell="A1">
      <selection activeCell="G29" sqref="G29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>
      <c r="A1" s="2"/>
      <c r="B1" s="162" t="s">
        <v>0</v>
      </c>
      <c r="C1" s="162"/>
      <c r="D1" s="162"/>
      <c r="E1" s="162"/>
      <c r="F1" s="162"/>
      <c r="G1" s="3"/>
    </row>
    <row r="2" spans="1:7" ht="14.25" customHeight="1">
      <c r="A2" s="4"/>
      <c r="B2" s="163" t="s">
        <v>1</v>
      </c>
      <c r="C2" s="163"/>
      <c r="D2" s="163"/>
      <c r="E2" s="163"/>
      <c r="F2" s="163"/>
      <c r="G2" s="5"/>
    </row>
    <row r="3" spans="1:7" ht="30" customHeight="1">
      <c r="A3" s="164" t="s">
        <v>2</v>
      </c>
      <c r="B3" s="165"/>
      <c r="C3" s="165"/>
      <c r="D3" s="165"/>
      <c r="E3" s="165"/>
      <c r="F3" s="165"/>
      <c r="G3" s="166"/>
    </row>
    <row r="4" spans="1:7" ht="15" customHeight="1">
      <c r="A4" s="6">
        <f>IF(A47&lt;=12,12,A47)</f>
        <v>36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>
      <c r="G5" s="10">
        <v>36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94" t="s">
        <v>7</v>
      </c>
      <c r="G6" s="94"/>
    </row>
    <row r="7" spans="1:7" ht="12.75">
      <c r="A7" s="95">
        <v>1</v>
      </c>
      <c r="B7" s="95">
        <v>431</v>
      </c>
      <c r="C7" s="95">
        <v>4</v>
      </c>
      <c r="D7" s="95">
        <v>23.4</v>
      </c>
      <c r="E7" s="95"/>
      <c r="F7" s="95" t="s">
        <v>141</v>
      </c>
      <c r="G7" s="95"/>
    </row>
    <row r="8" spans="1:7" ht="12.75" customHeight="1">
      <c r="A8" s="86"/>
      <c r="B8" s="86"/>
      <c r="C8" s="86"/>
      <c r="D8" s="86"/>
      <c r="E8" s="86"/>
      <c r="F8" s="86"/>
      <c r="G8" s="86"/>
    </row>
    <row r="9" spans="1:7" ht="12.75" customHeight="1">
      <c r="A9" s="157"/>
      <c r="B9" s="157"/>
      <c r="C9" s="157"/>
      <c r="D9" s="157"/>
      <c r="E9" s="157"/>
      <c r="F9" s="157"/>
      <c r="G9" s="157"/>
    </row>
    <row r="10" spans="1:7" ht="12.75">
      <c r="A10" s="96" t="s">
        <v>10</v>
      </c>
      <c r="B10" s="96"/>
      <c r="C10" s="97"/>
      <c r="D10" s="98"/>
      <c r="E10" s="98"/>
      <c r="F10" s="99" t="s">
        <v>11</v>
      </c>
      <c r="G10" s="100">
        <v>5438000</v>
      </c>
    </row>
    <row r="11" spans="1:7" ht="12.75">
      <c r="A11" s="1" t="s">
        <v>12</v>
      </c>
      <c r="B11" s="1" t="s">
        <v>13</v>
      </c>
      <c r="C11" s="18"/>
      <c r="F11" s="19"/>
      <c r="G11" s="20">
        <f>ROUND(IF(ISERROR(FIND("PARKING",Model,1)),IF(SellingPrice&gt;3199200,(G10-(G10/1.12)),0),(G10-(G10/1.12))),2)</f>
        <v>582642.86</v>
      </c>
    </row>
    <row r="12" spans="1:10" ht="12.75" hidden="1">
      <c r="A12" s="21">
        <v>5</v>
      </c>
      <c r="B12" s="1" t="str">
        <f>CONCATENATE(A12,"% Discount on ",A39,"% SFDP")</f>
        <v>5% Discount on 10% SFDP</v>
      </c>
      <c r="F12" s="19"/>
      <c r="G12" s="22"/>
      <c r="I12" s="22"/>
      <c r="J12" s="22"/>
    </row>
    <row r="13" spans="2:10" ht="12.75" hidden="1">
      <c r="B13" s="1" t="s">
        <v>14</v>
      </c>
      <c r="G13" s="22">
        <v>0</v>
      </c>
      <c r="I13" s="22"/>
      <c r="J13" s="22"/>
    </row>
    <row r="14" spans="2:10" ht="12.75" hidden="1">
      <c r="B14" s="1" t="s">
        <v>15</v>
      </c>
      <c r="G14" s="22">
        <v>0</v>
      </c>
      <c r="I14" s="22"/>
      <c r="J14" s="22"/>
    </row>
    <row r="15" spans="2:9" ht="12.75" hidden="1">
      <c r="B15" s="1" t="s">
        <v>16</v>
      </c>
      <c r="G15" s="22">
        <v>0</v>
      </c>
      <c r="I15" s="22"/>
    </row>
    <row r="16" spans="2:9" ht="12.75">
      <c r="B16" s="1" t="s">
        <v>17</v>
      </c>
      <c r="D16" s="112" t="s">
        <v>142</v>
      </c>
      <c r="G16" s="22">
        <v>80000</v>
      </c>
      <c r="I16" s="22"/>
    </row>
    <row r="17" spans="2:9" ht="12.75" hidden="1">
      <c r="B17" s="1" t="s">
        <v>18</v>
      </c>
      <c r="G17" s="22">
        <v>0</v>
      </c>
      <c r="I17" s="22"/>
    </row>
    <row r="18" spans="2:10" ht="12.75" hidden="1">
      <c r="B18" s="1" t="s">
        <v>19</v>
      </c>
      <c r="G18" s="22">
        <v>0</v>
      </c>
      <c r="H18" s="22"/>
      <c r="I18" s="22"/>
      <c r="J18" s="22"/>
    </row>
    <row r="19" spans="2:10" ht="12.75" hidden="1">
      <c r="B19" s="1" t="s">
        <v>20</v>
      </c>
      <c r="G19" s="22">
        <v>0</v>
      </c>
      <c r="J19" s="22"/>
    </row>
    <row r="20" spans="2:10" ht="12.75">
      <c r="B20" s="1" t="s">
        <v>144</v>
      </c>
      <c r="G20" s="22">
        <f>(SellingPrice-G11)*6%</f>
        <v>291321.4284</v>
      </c>
      <c r="J20" s="22"/>
    </row>
    <row r="21" spans="2:10" ht="12.75" hidden="1">
      <c r="B21" s="1" t="s">
        <v>22</v>
      </c>
      <c r="G21" s="22">
        <v>0</v>
      </c>
      <c r="J21" s="22"/>
    </row>
    <row r="22" spans="2:10" ht="12.75" hidden="1">
      <c r="B22" s="1" t="s">
        <v>23</v>
      </c>
      <c r="G22" s="22">
        <v>0</v>
      </c>
      <c r="J22" s="22"/>
    </row>
    <row r="23" spans="6:10" ht="13.5" customHeight="1">
      <c r="F23" s="19"/>
      <c r="G23" s="23"/>
      <c r="J23" s="22"/>
    </row>
    <row r="24" spans="1:7" ht="13.5" customHeight="1">
      <c r="A24" s="13" t="s">
        <v>24</v>
      </c>
      <c r="B24" s="24"/>
      <c r="C24" s="15"/>
      <c r="D24" s="15"/>
      <c r="E24" s="15"/>
      <c r="F24" s="16" t="s">
        <v>11</v>
      </c>
      <c r="G24" s="25">
        <f>(SellingPrice-G11)-SUM(G12:G22)</f>
        <v>4484035.7116</v>
      </c>
    </row>
    <row r="25" spans="1:9" ht="12.75">
      <c r="A25" s="1" t="s">
        <v>25</v>
      </c>
      <c r="B25" s="1" t="s">
        <v>13</v>
      </c>
      <c r="G25" s="22">
        <f>ROUND(IF(ISERROR(FIND("PARKING",Model,1)),IF(G24&gt;3199200,G24*12%,0),G24*12%),2)</f>
        <v>538084.29</v>
      </c>
      <c r="I25" s="22"/>
    </row>
    <row r="26" spans="1:7" ht="12.75" hidden="1">
      <c r="A26" s="21">
        <v>7</v>
      </c>
      <c r="B26" s="1" t="s">
        <v>26</v>
      </c>
      <c r="G26" s="22">
        <f>ROUND(G24*(A26/100),2)</f>
        <v>313882.5</v>
      </c>
    </row>
    <row r="27" spans="1:7" ht="12.75" hidden="1">
      <c r="A27" s="21"/>
      <c r="B27" s="1" t="s">
        <v>27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28</v>
      </c>
      <c r="G28" s="22">
        <v>0</v>
      </c>
    </row>
    <row r="29" spans="1:7" ht="13.5" customHeight="1">
      <c r="A29" s="21"/>
      <c r="B29" s="1" t="s">
        <v>26</v>
      </c>
      <c r="G29" s="22">
        <f>ROUND(SUM(G26,G28,F27),2)+105000</f>
        <v>418882.5</v>
      </c>
    </row>
    <row r="30" spans="1:7" ht="13.5" customHeight="1">
      <c r="A30" s="13" t="s">
        <v>29</v>
      </c>
      <c r="B30" s="15"/>
      <c r="C30" s="15"/>
      <c r="D30" s="15"/>
      <c r="E30" s="15"/>
      <c r="F30" s="16" t="s">
        <v>11</v>
      </c>
      <c r="G30" s="25">
        <f>G24+SUM(G25,G29)</f>
        <v>5441002.5016</v>
      </c>
    </row>
    <row r="32" ht="12.75">
      <c r="A32" s="26" t="s">
        <v>30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1004424</v>
      </c>
    </row>
    <row r="34" spans="1:7" ht="13.5" customHeight="1">
      <c r="A34" s="26"/>
      <c r="B34" s="1" t="s">
        <v>31</v>
      </c>
      <c r="G34" s="22">
        <f>ROUND(G29*(A33/100),2)</f>
        <v>83776.5</v>
      </c>
    </row>
    <row r="35" spans="1:7" ht="13.5" customHeight="1">
      <c r="A35" s="13" t="s">
        <v>32</v>
      </c>
      <c r="B35" s="15"/>
      <c r="C35" s="15"/>
      <c r="D35" s="15"/>
      <c r="E35" s="15"/>
      <c r="F35" s="16" t="s">
        <v>11</v>
      </c>
      <c r="G35" s="25">
        <f>SUM(G33:G34)</f>
        <v>1088200.5</v>
      </c>
    </row>
    <row r="36" spans="1:7" ht="13.5" customHeight="1">
      <c r="A36" s="1" t="s">
        <v>12</v>
      </c>
      <c r="B36" s="1" t="s">
        <v>33</v>
      </c>
      <c r="F36" s="28">
        <f ca="1">NOW()</f>
        <v>44211.750529398145</v>
      </c>
      <c r="G36" s="22">
        <v>20000</v>
      </c>
    </row>
    <row r="37" spans="1:7" ht="13.5" customHeight="1">
      <c r="A37" s="13" t="s">
        <v>34</v>
      </c>
      <c r="B37" s="15"/>
      <c r="C37" s="15"/>
      <c r="D37" s="15"/>
      <c r="E37" s="29"/>
      <c r="F37" s="16" t="s">
        <v>11</v>
      </c>
      <c r="G37" s="25">
        <f>G35-G36</f>
        <v>1068200.5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482212</v>
      </c>
      <c r="H39" s="22"/>
      <c r="I39" s="22"/>
      <c r="J39" s="31"/>
    </row>
    <row r="40" spans="2:10" ht="13.5" customHeight="1">
      <c r="B40" s="1" t="s">
        <v>26</v>
      </c>
      <c r="E40" s="30"/>
      <c r="F40" s="28"/>
      <c r="G40" s="22">
        <f>ROUND(G29*(A39/100),2)</f>
        <v>41888.25</v>
      </c>
      <c r="J40" s="22"/>
    </row>
    <row r="41" spans="2:7" ht="13.5" customHeight="1">
      <c r="B41" s="32" t="s">
        <v>35</v>
      </c>
      <c r="E41" s="30"/>
      <c r="F41" s="155">
        <f>ReservationDate+19</f>
        <v>44230.750529398145</v>
      </c>
      <c r="G41" s="33">
        <f>SUM(G39:G40)</f>
        <v>524100.25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502212</v>
      </c>
    </row>
    <row r="44" spans="2:7" ht="13.5" customHeight="1">
      <c r="B44" s="36" t="s">
        <v>26</v>
      </c>
      <c r="E44" s="30"/>
      <c r="F44" s="28"/>
      <c r="G44" s="22">
        <f>SUM(G34:G34)-G40</f>
        <v>41888.25</v>
      </c>
    </row>
    <row r="45" spans="2:7" ht="13.5" customHeight="1">
      <c r="B45" s="32" t="str">
        <f>CONCATENATE("Total Streched DP and Other Charges payable in "&amp;A47&amp;" months")</f>
        <v>Total Streched DP and Other Charges payable in 36 months</v>
      </c>
      <c r="E45" s="30"/>
      <c r="F45" s="28"/>
      <c r="G45" s="33">
        <f>SUM(G43:G44)</f>
        <v>544100.25</v>
      </c>
    </row>
    <row r="46" spans="2:7" ht="12.75">
      <c r="B46" s="36"/>
      <c r="E46" s="30"/>
      <c r="F46" s="28"/>
      <c r="G46" s="35"/>
    </row>
    <row r="47" spans="1:7" ht="25.5" customHeight="1">
      <c r="A47" s="37">
        <v>36</v>
      </c>
      <c r="B47" s="193" t="s">
        <v>36</v>
      </c>
      <c r="C47" s="193"/>
      <c r="D47" s="38" t="s">
        <v>37</v>
      </c>
      <c r="E47" s="39" t="s">
        <v>38</v>
      </c>
      <c r="F47" s="40" t="s">
        <v>26</v>
      </c>
      <c r="G47" s="41" t="s">
        <v>39</v>
      </c>
    </row>
    <row r="48" spans="1:7" ht="12.75">
      <c r="A48" s="192" t="s">
        <v>40</v>
      </c>
      <c r="B48" s="192"/>
      <c r="C48" s="192"/>
      <c r="D48" s="42">
        <f>IF(AND(DAY(F41)&gt;2,DAY(F41)&lt;19),DATE(YEAR(F41+30),MONTH(F41+30),DAY(17)),DATE(YEAR(F41+30),IF(DAY(F41)&gt;18,MONTH(F41+30)+1,MONTH(F41+30)),DAY(2)))</f>
        <v>44272</v>
      </c>
      <c r="E48" s="20">
        <f>ROUND(G43/A47,2)</f>
        <v>13950.33</v>
      </c>
      <c r="F48" s="43">
        <f>ROUND(G44/A47,2)</f>
        <v>1163.56</v>
      </c>
      <c r="G48" s="22">
        <f>SUM(E48:F48)</f>
        <v>15113.89</v>
      </c>
    </row>
    <row r="49" spans="1:7" ht="12.75">
      <c r="A49" s="192" t="s">
        <v>41</v>
      </c>
      <c r="B49" s="192"/>
      <c r="C49" s="192"/>
      <c r="D49" s="42">
        <f>IF($A$47&lt;VALUE(LEFT(A49,1))," ",DATE(YEAR(D48+30),MONTH(D48+30),DAY(D48)))</f>
        <v>44303</v>
      </c>
      <c r="E49" s="20">
        <f>IF($A$47&lt;VALUE(LEFT(A49,1))," ",IF($A$47=VALUE(LEFT(A49,1)),$G$43-($E$48*($A$47-1)),E48))</f>
        <v>13950.33</v>
      </c>
      <c r="F49" s="43">
        <f>IF($A$47&lt;VALUE(LEFT(A49,1))," ",IF($A$47=VALUE(LEFT(A49,1)),$G$44-($F$48*($A$47-1)),F48))</f>
        <v>1163.56</v>
      </c>
      <c r="G49" s="22">
        <f>IF($A$47&lt;VALUE(LEFT(A49,1))," ",SUM(E49:F49))</f>
        <v>15113.89</v>
      </c>
    </row>
    <row r="50" spans="1:7" ht="12.75">
      <c r="A50" s="192" t="s">
        <v>42</v>
      </c>
      <c r="B50" s="192"/>
      <c r="C50" s="192"/>
      <c r="D50" s="42">
        <f>IF($A$47&lt;VALUE(LEFT(A50,1))," ",DATE(YEAR(D49+30),MONTH(D49+30),DAY(D49)))</f>
        <v>44333</v>
      </c>
      <c r="E50" s="20">
        <f aca="true" t="shared" si="0" ref="E50:E56">IF($A$47&lt;VALUE(LEFT(A50,1))," ",IF($A$47=VALUE(LEFT(A50,1)),$G$43-($E$48*($A$47-1)),E49))</f>
        <v>13950.33</v>
      </c>
      <c r="F50" s="43">
        <f aca="true" t="shared" si="1" ref="F50:F56">IF($A$47&lt;VALUE(LEFT(A50,1))," ",IF($A$47=VALUE(LEFT(A50,1)),$G$44-($F$48*($A$47-1)),F49))</f>
        <v>1163.56</v>
      </c>
      <c r="G50" s="22">
        <f aca="true" t="shared" si="2" ref="G50:G56">IF($A$47&lt;VALUE(LEFT(A50,1))," ",SUM(E50:F50))</f>
        <v>15113.89</v>
      </c>
    </row>
    <row r="51" spans="1:7" ht="12.75">
      <c r="A51" s="192" t="s">
        <v>43</v>
      </c>
      <c r="B51" s="192"/>
      <c r="C51" s="192"/>
      <c r="D51" s="42">
        <f aca="true" t="shared" si="3" ref="D51:D56">IF($A$47&lt;VALUE(LEFT(A51,1))," ",DATE(YEAR(D50+30),MONTH(D50+30),DAY(D50)))</f>
        <v>44364</v>
      </c>
      <c r="E51" s="20">
        <f t="shared" si="0"/>
        <v>13950.33</v>
      </c>
      <c r="F51" s="43">
        <f t="shared" si="1"/>
        <v>1163.56</v>
      </c>
      <c r="G51" s="22">
        <f t="shared" si="2"/>
        <v>15113.89</v>
      </c>
    </row>
    <row r="52" spans="1:7" ht="12.75">
      <c r="A52" s="192" t="s">
        <v>44</v>
      </c>
      <c r="B52" s="192"/>
      <c r="C52" s="192"/>
      <c r="D52" s="42">
        <f t="shared" si="3"/>
        <v>44394</v>
      </c>
      <c r="E52" s="20">
        <f t="shared" si="0"/>
        <v>13950.33</v>
      </c>
      <c r="F52" s="43">
        <f t="shared" si="1"/>
        <v>1163.56</v>
      </c>
      <c r="G52" s="22">
        <f t="shared" si="2"/>
        <v>15113.89</v>
      </c>
    </row>
    <row r="53" spans="1:7" ht="12.75">
      <c r="A53" s="192" t="s">
        <v>45</v>
      </c>
      <c r="B53" s="192"/>
      <c r="C53" s="192"/>
      <c r="D53" s="42">
        <f t="shared" si="3"/>
        <v>44425</v>
      </c>
      <c r="E53" s="20">
        <f t="shared" si="0"/>
        <v>13950.33</v>
      </c>
      <c r="F53" s="43">
        <f t="shared" si="1"/>
        <v>1163.56</v>
      </c>
      <c r="G53" s="22">
        <f t="shared" si="2"/>
        <v>15113.89</v>
      </c>
    </row>
    <row r="54" spans="1:7" ht="12.75">
      <c r="A54" s="192" t="s">
        <v>46</v>
      </c>
      <c r="B54" s="192"/>
      <c r="C54" s="192"/>
      <c r="D54" s="42">
        <f t="shared" si="3"/>
        <v>44456</v>
      </c>
      <c r="E54" s="20">
        <f t="shared" si="0"/>
        <v>13950.33</v>
      </c>
      <c r="F54" s="43">
        <f t="shared" si="1"/>
        <v>1163.56</v>
      </c>
      <c r="G54" s="22">
        <f t="shared" si="2"/>
        <v>15113.89</v>
      </c>
    </row>
    <row r="55" spans="1:7" ht="12.75">
      <c r="A55" s="192" t="s">
        <v>47</v>
      </c>
      <c r="B55" s="192"/>
      <c r="C55" s="192"/>
      <c r="D55" s="42">
        <f t="shared" si="3"/>
        <v>44486</v>
      </c>
      <c r="E55" s="20">
        <f t="shared" si="0"/>
        <v>13950.33</v>
      </c>
      <c r="F55" s="43">
        <f t="shared" si="1"/>
        <v>1163.56</v>
      </c>
      <c r="G55" s="22">
        <f t="shared" si="2"/>
        <v>15113.89</v>
      </c>
    </row>
    <row r="56" spans="1:7" ht="12.75">
      <c r="A56" s="192" t="s">
        <v>48</v>
      </c>
      <c r="B56" s="192"/>
      <c r="C56" s="192"/>
      <c r="D56" s="42">
        <f t="shared" si="3"/>
        <v>44517</v>
      </c>
      <c r="E56" s="20">
        <f t="shared" si="0"/>
        <v>13950.33</v>
      </c>
      <c r="F56" s="43">
        <f t="shared" si="1"/>
        <v>1163.56</v>
      </c>
      <c r="G56" s="22">
        <f t="shared" si="2"/>
        <v>15113.89</v>
      </c>
    </row>
    <row r="57" spans="1:7" ht="12.75">
      <c r="A57" s="192" t="s">
        <v>49</v>
      </c>
      <c r="B57" s="192"/>
      <c r="C57" s="192"/>
      <c r="D57" s="42">
        <f>IF($A$47&lt;VALUE(LEFT(A57,2))," ",DATE(YEAR(D56+30),MONTH(D56+30),DAY(D56)))</f>
        <v>44547</v>
      </c>
      <c r="E57" s="20">
        <f>IF($A$47&lt;VALUE(LEFT(A57,2))," ",IF($A$47=VALUE(LEFT(A57,2)),$G$43-($E$48*($A$47-1)),E56))</f>
        <v>13950.33</v>
      </c>
      <c r="F57" s="43">
        <f>IF($A$47&lt;VALUE(LEFT(A57,2))," ",IF($A$47=VALUE(LEFT(A57,2)),$G$44-($F$48*($A$47-1)),F56))</f>
        <v>1163.56</v>
      </c>
      <c r="G57" s="22">
        <f>IF($A$47&lt;VALUE(LEFT(A57,2))," ",SUM(E57:F57))</f>
        <v>15113.89</v>
      </c>
    </row>
    <row r="58" spans="1:7" ht="12.75">
      <c r="A58" s="192" t="s">
        <v>50</v>
      </c>
      <c r="B58" s="192"/>
      <c r="C58" s="192"/>
      <c r="D58" s="42">
        <f aca="true" t="shared" si="4" ref="D58:D71">IF($A$47&lt;VALUE(LEFT(A58,2))," ",DATE(YEAR(D57+30),MONTH(D57+30),DAY(D57)))</f>
        <v>44578</v>
      </c>
      <c r="E58" s="20">
        <f aca="true" t="shared" si="5" ref="E58:E71">IF($A$47&lt;VALUE(LEFT(A58,2))," ",IF($A$47=VALUE(LEFT(A58,2)),$G$43-($E$48*($A$47-1)),E57))</f>
        <v>13950.33</v>
      </c>
      <c r="F58" s="43">
        <f aca="true" t="shared" si="6" ref="F58:F71">IF($A$47&lt;VALUE(LEFT(A58,2))," ",IF($A$47=VALUE(LEFT(A58,2)),$G$44-($F$48*($A$47-1)),F57))</f>
        <v>1163.56</v>
      </c>
      <c r="G58" s="22">
        <f aca="true" t="shared" si="7" ref="G58:G71">IF($A$47&lt;VALUE(LEFT(A58,2))," ",SUM(E58:F58))</f>
        <v>15113.89</v>
      </c>
    </row>
    <row r="59" spans="1:7" ht="12.75">
      <c r="A59" s="192" t="s">
        <v>51</v>
      </c>
      <c r="B59" s="192"/>
      <c r="C59" s="192"/>
      <c r="D59" s="42">
        <f t="shared" si="4"/>
        <v>44609</v>
      </c>
      <c r="E59" s="20">
        <f t="shared" si="5"/>
        <v>13950.33</v>
      </c>
      <c r="F59" s="43">
        <f t="shared" si="6"/>
        <v>1163.56</v>
      </c>
      <c r="G59" s="22">
        <f t="shared" si="7"/>
        <v>15113.89</v>
      </c>
    </row>
    <row r="60" spans="1:7" ht="12.75">
      <c r="A60" s="192" t="s">
        <v>52</v>
      </c>
      <c r="B60" s="192"/>
      <c r="C60" s="192"/>
      <c r="D60" s="42">
        <f t="shared" si="4"/>
        <v>44637</v>
      </c>
      <c r="E60" s="20">
        <f t="shared" si="5"/>
        <v>13950.33</v>
      </c>
      <c r="F60" s="43">
        <f t="shared" si="6"/>
        <v>1163.56</v>
      </c>
      <c r="G60" s="22">
        <f t="shared" si="7"/>
        <v>15113.89</v>
      </c>
    </row>
    <row r="61" spans="1:7" ht="12.75">
      <c r="A61" s="192" t="s">
        <v>53</v>
      </c>
      <c r="B61" s="192"/>
      <c r="C61" s="192"/>
      <c r="D61" s="42">
        <f t="shared" si="4"/>
        <v>44668</v>
      </c>
      <c r="E61" s="20">
        <f t="shared" si="5"/>
        <v>13950.33</v>
      </c>
      <c r="F61" s="43">
        <f t="shared" si="6"/>
        <v>1163.56</v>
      </c>
      <c r="G61" s="22">
        <f t="shared" si="7"/>
        <v>15113.89</v>
      </c>
    </row>
    <row r="62" spans="1:7" ht="12.75">
      <c r="A62" s="192" t="s">
        <v>54</v>
      </c>
      <c r="B62" s="192"/>
      <c r="C62" s="192"/>
      <c r="D62" s="42">
        <f t="shared" si="4"/>
        <v>44698</v>
      </c>
      <c r="E62" s="20">
        <f t="shared" si="5"/>
        <v>13950.33</v>
      </c>
      <c r="F62" s="43">
        <f t="shared" si="6"/>
        <v>1163.56</v>
      </c>
      <c r="G62" s="22">
        <f t="shared" si="7"/>
        <v>15113.89</v>
      </c>
    </row>
    <row r="63" spans="1:7" ht="12.75">
      <c r="A63" s="192" t="s">
        <v>55</v>
      </c>
      <c r="B63" s="192"/>
      <c r="C63" s="192"/>
      <c r="D63" s="42">
        <f t="shared" si="4"/>
        <v>44729</v>
      </c>
      <c r="E63" s="20">
        <f t="shared" si="5"/>
        <v>13950.33</v>
      </c>
      <c r="F63" s="43">
        <f t="shared" si="6"/>
        <v>1163.56</v>
      </c>
      <c r="G63" s="22">
        <f t="shared" si="7"/>
        <v>15113.89</v>
      </c>
    </row>
    <row r="64" spans="1:7" ht="12.75">
      <c r="A64" s="192" t="s">
        <v>56</v>
      </c>
      <c r="B64" s="192"/>
      <c r="C64" s="192"/>
      <c r="D64" s="42">
        <f t="shared" si="4"/>
        <v>44759</v>
      </c>
      <c r="E64" s="20">
        <f t="shared" si="5"/>
        <v>13950.33</v>
      </c>
      <c r="F64" s="43">
        <f t="shared" si="6"/>
        <v>1163.56</v>
      </c>
      <c r="G64" s="22">
        <f t="shared" si="7"/>
        <v>15113.89</v>
      </c>
    </row>
    <row r="65" spans="1:7" ht="12.75">
      <c r="A65" s="192" t="s">
        <v>57</v>
      </c>
      <c r="B65" s="192"/>
      <c r="C65" s="192"/>
      <c r="D65" s="42">
        <f t="shared" si="4"/>
        <v>44790</v>
      </c>
      <c r="E65" s="20">
        <f t="shared" si="5"/>
        <v>13950.33</v>
      </c>
      <c r="F65" s="43">
        <f t="shared" si="6"/>
        <v>1163.56</v>
      </c>
      <c r="G65" s="22">
        <f t="shared" si="7"/>
        <v>15113.89</v>
      </c>
    </row>
    <row r="66" spans="1:7" ht="12.75">
      <c r="A66" s="192" t="s">
        <v>58</v>
      </c>
      <c r="B66" s="192"/>
      <c r="C66" s="192"/>
      <c r="D66" s="42">
        <f t="shared" si="4"/>
        <v>44821</v>
      </c>
      <c r="E66" s="20">
        <f t="shared" si="5"/>
        <v>13950.33</v>
      </c>
      <c r="F66" s="43">
        <f t="shared" si="6"/>
        <v>1163.56</v>
      </c>
      <c r="G66" s="22">
        <f t="shared" si="7"/>
        <v>15113.89</v>
      </c>
    </row>
    <row r="67" spans="1:7" ht="12.75">
      <c r="A67" s="192" t="s">
        <v>59</v>
      </c>
      <c r="B67" s="192"/>
      <c r="C67" s="192"/>
      <c r="D67" s="42">
        <f t="shared" si="4"/>
        <v>44851</v>
      </c>
      <c r="E67" s="20">
        <f t="shared" si="5"/>
        <v>13950.33</v>
      </c>
      <c r="F67" s="43">
        <f t="shared" si="6"/>
        <v>1163.56</v>
      </c>
      <c r="G67" s="22">
        <f t="shared" si="7"/>
        <v>15113.89</v>
      </c>
    </row>
    <row r="68" spans="1:7" ht="12.75">
      <c r="A68" s="192" t="s">
        <v>60</v>
      </c>
      <c r="B68" s="192"/>
      <c r="C68" s="192"/>
      <c r="D68" s="42">
        <f t="shared" si="4"/>
        <v>44882</v>
      </c>
      <c r="E68" s="20">
        <f t="shared" si="5"/>
        <v>13950.33</v>
      </c>
      <c r="F68" s="43">
        <f t="shared" si="6"/>
        <v>1163.56</v>
      </c>
      <c r="G68" s="22">
        <f t="shared" si="7"/>
        <v>15113.89</v>
      </c>
    </row>
    <row r="69" spans="1:7" ht="12.75">
      <c r="A69" s="192" t="s">
        <v>61</v>
      </c>
      <c r="B69" s="192"/>
      <c r="C69" s="192"/>
      <c r="D69" s="42">
        <f t="shared" si="4"/>
        <v>44912</v>
      </c>
      <c r="E69" s="20">
        <f t="shared" si="5"/>
        <v>13950.33</v>
      </c>
      <c r="F69" s="43">
        <f t="shared" si="6"/>
        <v>1163.56</v>
      </c>
      <c r="G69" s="22">
        <f t="shared" si="7"/>
        <v>15113.89</v>
      </c>
    </row>
    <row r="70" spans="1:7" ht="12.75">
      <c r="A70" s="192" t="s">
        <v>62</v>
      </c>
      <c r="B70" s="192"/>
      <c r="C70" s="192"/>
      <c r="D70" s="42">
        <f t="shared" si="4"/>
        <v>44943</v>
      </c>
      <c r="E70" s="20">
        <f t="shared" si="5"/>
        <v>13950.33</v>
      </c>
      <c r="F70" s="43">
        <f t="shared" si="6"/>
        <v>1163.56</v>
      </c>
      <c r="G70" s="22">
        <f t="shared" si="7"/>
        <v>15113.89</v>
      </c>
    </row>
    <row r="71" spans="1:7" ht="12.75">
      <c r="A71" s="192" t="s">
        <v>63</v>
      </c>
      <c r="B71" s="192"/>
      <c r="C71" s="192"/>
      <c r="D71" s="42">
        <f t="shared" si="4"/>
        <v>44974</v>
      </c>
      <c r="E71" s="20">
        <f t="shared" si="5"/>
        <v>13950.33</v>
      </c>
      <c r="F71" s="43">
        <f t="shared" si="6"/>
        <v>1163.56</v>
      </c>
      <c r="G71" s="22">
        <f t="shared" si="7"/>
        <v>15113.89</v>
      </c>
    </row>
    <row r="72" spans="1:7" ht="12.75">
      <c r="A72" s="192" t="s">
        <v>64</v>
      </c>
      <c r="B72" s="192"/>
      <c r="C72" s="192"/>
      <c r="D72" s="42">
        <f aca="true" t="shared" si="8" ref="D72:D82">IF($A$47&lt;VALUE(LEFT(A72,2))," ",DATE(YEAR(D71+30),MONTH(D71+30),DAY(D71)))</f>
        <v>45002</v>
      </c>
      <c r="E72" s="20">
        <f aca="true" t="shared" si="9" ref="E72:E82">IF($A$47&lt;VALUE(LEFT(A72,2))," ",IF($A$47=VALUE(LEFT(A72,2)),$G$43-($E$48*($A$47-1)),E71))</f>
        <v>13950.33</v>
      </c>
      <c r="F72" s="43">
        <f aca="true" t="shared" si="10" ref="F72:F82">IF($A$47&lt;VALUE(LEFT(A72,2))," ",IF($A$47=VALUE(LEFT(A72,2)),$G$44-($F$48*($A$47-1)),F71))</f>
        <v>1163.56</v>
      </c>
      <c r="G72" s="22">
        <f aca="true" t="shared" si="11" ref="G72:G82">IF($A$47&lt;VALUE(LEFT(A72,2))," ",SUM(E72:F72))</f>
        <v>15113.89</v>
      </c>
    </row>
    <row r="73" spans="1:7" ht="12.75">
      <c r="A73" s="192" t="s">
        <v>65</v>
      </c>
      <c r="B73" s="192"/>
      <c r="C73" s="192"/>
      <c r="D73" s="42">
        <f t="shared" si="8"/>
        <v>45033</v>
      </c>
      <c r="E73" s="20">
        <f t="shared" si="9"/>
        <v>13950.33</v>
      </c>
      <c r="F73" s="43">
        <f t="shared" si="10"/>
        <v>1163.56</v>
      </c>
      <c r="G73" s="22">
        <f t="shared" si="11"/>
        <v>15113.89</v>
      </c>
    </row>
    <row r="74" spans="1:7" ht="12.75">
      <c r="A74" s="192" t="s">
        <v>66</v>
      </c>
      <c r="B74" s="192"/>
      <c r="C74" s="192"/>
      <c r="D74" s="42">
        <f t="shared" si="8"/>
        <v>45063</v>
      </c>
      <c r="E74" s="20">
        <f t="shared" si="9"/>
        <v>13950.33</v>
      </c>
      <c r="F74" s="43">
        <f t="shared" si="10"/>
        <v>1163.56</v>
      </c>
      <c r="G74" s="22">
        <f t="shared" si="11"/>
        <v>15113.89</v>
      </c>
    </row>
    <row r="75" spans="1:7" ht="12.75">
      <c r="A75" s="192" t="s">
        <v>67</v>
      </c>
      <c r="B75" s="192"/>
      <c r="C75" s="192"/>
      <c r="D75" s="42">
        <f t="shared" si="8"/>
        <v>45094</v>
      </c>
      <c r="E75" s="20">
        <f t="shared" si="9"/>
        <v>13950.33</v>
      </c>
      <c r="F75" s="43">
        <f t="shared" si="10"/>
        <v>1163.56</v>
      </c>
      <c r="G75" s="22">
        <f t="shared" si="11"/>
        <v>15113.89</v>
      </c>
    </row>
    <row r="76" spans="1:7" ht="12.75">
      <c r="A76" s="192" t="s">
        <v>68</v>
      </c>
      <c r="B76" s="192"/>
      <c r="C76" s="192"/>
      <c r="D76" s="42">
        <f t="shared" si="8"/>
        <v>45124</v>
      </c>
      <c r="E76" s="20">
        <f t="shared" si="9"/>
        <v>13950.33</v>
      </c>
      <c r="F76" s="43">
        <f t="shared" si="10"/>
        <v>1163.56</v>
      </c>
      <c r="G76" s="22">
        <f t="shared" si="11"/>
        <v>15113.89</v>
      </c>
    </row>
    <row r="77" spans="1:7" ht="12.75">
      <c r="A77" s="192" t="s">
        <v>69</v>
      </c>
      <c r="B77" s="192"/>
      <c r="C77" s="192"/>
      <c r="D77" s="42">
        <f t="shared" si="8"/>
        <v>45155</v>
      </c>
      <c r="E77" s="20">
        <f t="shared" si="9"/>
        <v>13950.33</v>
      </c>
      <c r="F77" s="43">
        <f t="shared" si="10"/>
        <v>1163.56</v>
      </c>
      <c r="G77" s="22">
        <f t="shared" si="11"/>
        <v>15113.89</v>
      </c>
    </row>
    <row r="78" spans="1:7" ht="12.75">
      <c r="A78" s="192" t="s">
        <v>70</v>
      </c>
      <c r="B78" s="192"/>
      <c r="C78" s="192"/>
      <c r="D78" s="42">
        <f t="shared" si="8"/>
        <v>45186</v>
      </c>
      <c r="E78" s="20">
        <f t="shared" si="9"/>
        <v>13950.33</v>
      </c>
      <c r="F78" s="43">
        <f t="shared" si="10"/>
        <v>1163.56</v>
      </c>
      <c r="G78" s="22">
        <f t="shared" si="11"/>
        <v>15113.89</v>
      </c>
    </row>
    <row r="79" spans="1:7" ht="12.75">
      <c r="A79" s="192" t="s">
        <v>71</v>
      </c>
      <c r="B79" s="192"/>
      <c r="C79" s="192"/>
      <c r="D79" s="42">
        <f t="shared" si="8"/>
        <v>45216</v>
      </c>
      <c r="E79" s="20">
        <f t="shared" si="9"/>
        <v>13950.33</v>
      </c>
      <c r="F79" s="43">
        <f t="shared" si="10"/>
        <v>1163.56</v>
      </c>
      <c r="G79" s="22">
        <f t="shared" si="11"/>
        <v>15113.89</v>
      </c>
    </row>
    <row r="80" spans="1:7" ht="12.75">
      <c r="A80" s="192" t="s">
        <v>72</v>
      </c>
      <c r="B80" s="192"/>
      <c r="C80" s="192"/>
      <c r="D80" s="42">
        <f t="shared" si="8"/>
        <v>45247</v>
      </c>
      <c r="E80" s="20">
        <f t="shared" si="9"/>
        <v>13950.33</v>
      </c>
      <c r="F80" s="43">
        <f t="shared" si="10"/>
        <v>1163.56</v>
      </c>
      <c r="G80" s="22">
        <f t="shared" si="11"/>
        <v>15113.89</v>
      </c>
    </row>
    <row r="81" spans="1:7" ht="12.75">
      <c r="A81" s="192" t="s">
        <v>73</v>
      </c>
      <c r="B81" s="192"/>
      <c r="C81" s="192"/>
      <c r="D81" s="42">
        <f t="shared" si="8"/>
        <v>45277</v>
      </c>
      <c r="E81" s="20">
        <f t="shared" si="9"/>
        <v>13950.33</v>
      </c>
      <c r="F81" s="43">
        <f t="shared" si="10"/>
        <v>1163.56</v>
      </c>
      <c r="G81" s="22">
        <f t="shared" si="11"/>
        <v>15113.89</v>
      </c>
    </row>
    <row r="82" spans="1:7" ht="12.75">
      <c r="A82" s="192" t="s">
        <v>74</v>
      </c>
      <c r="B82" s="192"/>
      <c r="C82" s="192"/>
      <c r="D82" s="42">
        <f t="shared" si="8"/>
        <v>45308</v>
      </c>
      <c r="E82" s="20">
        <f t="shared" si="9"/>
        <v>13950.33</v>
      </c>
      <c r="F82" s="43">
        <f t="shared" si="10"/>
        <v>1163.56</v>
      </c>
      <c r="G82" s="22">
        <f t="shared" si="11"/>
        <v>15113.89</v>
      </c>
    </row>
    <row r="83" spans="1:7" ht="12.75">
      <c r="A83" s="192" t="s">
        <v>75</v>
      </c>
      <c r="B83" s="192"/>
      <c r="C83" s="192"/>
      <c r="D83" s="42">
        <f>IF($A$47&lt;VALUE(LEFT(A83,2))," ",DATE(YEAR(D82+30),MONTH(D82+30),DAY(D82)))</f>
        <v>45339</v>
      </c>
      <c r="E83" s="20">
        <f>IF($A$47&lt;VALUE(LEFT(A83,2))," ",IF($A$47=VALUE(LEFT(A83,2)),$G$43-($E$48*($A$47-1)),E82))</f>
        <v>13950.450000000012</v>
      </c>
      <c r="F83" s="43">
        <f>IF($A$47&lt;VALUE(LEFT(A83,2))," ",IF($A$47=VALUE(LEFT(A83,2)),$G$44-($F$48*($A$47-1)),F82))</f>
        <v>1163.6500000000015</v>
      </c>
      <c r="G83" s="22">
        <f>IF($A$47&lt;VALUE(LEFT(A83,2))," ",SUM(E83:F83))</f>
        <v>15114.100000000013</v>
      </c>
    </row>
    <row r="84" spans="1:7" ht="12.75" hidden="1">
      <c r="A84" s="192" t="s">
        <v>122</v>
      </c>
      <c r="B84" s="192"/>
      <c r="C84" s="192"/>
      <c r="D84" s="42" t="str">
        <f aca="true" t="shared" si="12" ref="D84:D95">IF($A$47&lt;VALUE(LEFT(A84,2))," ",DATE(YEAR(D83+30),MONTH(D83+30),DAY(D83)))</f>
        <v> </v>
      </c>
      <c r="E84" s="20" t="str">
        <f aca="true" t="shared" si="13" ref="E84:E95">IF($A$47&lt;VALUE(LEFT(A84,2))," ",IF($A$47=VALUE(LEFT(A84,2)),$G$43-($E$48*($A$47-1)),E83))</f>
        <v> </v>
      </c>
      <c r="F84" s="43" t="str">
        <f aca="true" t="shared" si="14" ref="F84:F95">IF($A$47&lt;VALUE(LEFT(A84,2))," ",IF($A$47=VALUE(LEFT(A84,2)),$G$44-($F$48*($A$47-1)),F83))</f>
        <v> </v>
      </c>
      <c r="G84" s="22" t="str">
        <f aca="true" t="shared" si="15" ref="G84:G95">IF($A$47&lt;VALUE(LEFT(A84,2))," ",SUM(E84:F84))</f>
        <v> </v>
      </c>
    </row>
    <row r="85" spans="1:7" ht="12.75" hidden="1">
      <c r="A85" s="192" t="s">
        <v>123</v>
      </c>
      <c r="B85" s="192"/>
      <c r="C85" s="192"/>
      <c r="D85" s="42" t="str">
        <f t="shared" si="12"/>
        <v> </v>
      </c>
      <c r="E85" s="20" t="str">
        <f t="shared" si="13"/>
        <v> </v>
      </c>
      <c r="F85" s="43" t="str">
        <f t="shared" si="14"/>
        <v> </v>
      </c>
      <c r="G85" s="22" t="str">
        <f t="shared" si="15"/>
        <v> </v>
      </c>
    </row>
    <row r="86" spans="1:7" ht="12.75" hidden="1">
      <c r="A86" s="192" t="s">
        <v>124</v>
      </c>
      <c r="B86" s="192"/>
      <c r="C86" s="192"/>
      <c r="D86" s="42" t="str">
        <f t="shared" si="12"/>
        <v> </v>
      </c>
      <c r="E86" s="20" t="str">
        <f t="shared" si="13"/>
        <v> </v>
      </c>
      <c r="F86" s="43" t="str">
        <f t="shared" si="14"/>
        <v> </v>
      </c>
      <c r="G86" s="22" t="str">
        <f t="shared" si="15"/>
        <v> </v>
      </c>
    </row>
    <row r="87" spans="1:7" ht="12.75" hidden="1">
      <c r="A87" s="192" t="s">
        <v>125</v>
      </c>
      <c r="B87" s="192"/>
      <c r="C87" s="192"/>
      <c r="D87" s="42" t="str">
        <f t="shared" si="12"/>
        <v> </v>
      </c>
      <c r="E87" s="20" t="str">
        <f t="shared" si="13"/>
        <v> </v>
      </c>
      <c r="F87" s="43" t="str">
        <f t="shared" si="14"/>
        <v> </v>
      </c>
      <c r="G87" s="22" t="str">
        <f t="shared" si="15"/>
        <v> </v>
      </c>
    </row>
    <row r="88" spans="1:7" ht="12.75" hidden="1">
      <c r="A88" s="192" t="s">
        <v>126</v>
      </c>
      <c r="B88" s="192"/>
      <c r="C88" s="192"/>
      <c r="D88" s="42" t="str">
        <f t="shared" si="12"/>
        <v> </v>
      </c>
      <c r="E88" s="20" t="str">
        <f t="shared" si="13"/>
        <v> </v>
      </c>
      <c r="F88" s="43" t="str">
        <f t="shared" si="14"/>
        <v> </v>
      </c>
      <c r="G88" s="22" t="str">
        <f t="shared" si="15"/>
        <v> </v>
      </c>
    </row>
    <row r="89" spans="1:7" ht="12.75" hidden="1">
      <c r="A89" s="192" t="s">
        <v>127</v>
      </c>
      <c r="B89" s="192"/>
      <c r="C89" s="192"/>
      <c r="D89" s="42" t="str">
        <f t="shared" si="12"/>
        <v> </v>
      </c>
      <c r="E89" s="20" t="str">
        <f t="shared" si="13"/>
        <v> </v>
      </c>
      <c r="F89" s="43" t="str">
        <f t="shared" si="14"/>
        <v> </v>
      </c>
      <c r="G89" s="22" t="str">
        <f t="shared" si="15"/>
        <v> </v>
      </c>
    </row>
    <row r="90" spans="1:7" ht="12.75" hidden="1">
      <c r="A90" s="192" t="s">
        <v>128</v>
      </c>
      <c r="B90" s="192"/>
      <c r="C90" s="192"/>
      <c r="D90" s="42" t="str">
        <f t="shared" si="12"/>
        <v> </v>
      </c>
      <c r="E90" s="20" t="str">
        <f t="shared" si="13"/>
        <v> </v>
      </c>
      <c r="F90" s="43" t="str">
        <f t="shared" si="14"/>
        <v> </v>
      </c>
      <c r="G90" s="22" t="str">
        <f t="shared" si="15"/>
        <v> </v>
      </c>
    </row>
    <row r="91" spans="1:7" ht="12.75" hidden="1">
      <c r="A91" s="192" t="s">
        <v>129</v>
      </c>
      <c r="B91" s="192"/>
      <c r="C91" s="192"/>
      <c r="D91" s="42" t="str">
        <f t="shared" si="12"/>
        <v> </v>
      </c>
      <c r="E91" s="20" t="str">
        <f t="shared" si="13"/>
        <v> </v>
      </c>
      <c r="F91" s="43" t="str">
        <f t="shared" si="14"/>
        <v> </v>
      </c>
      <c r="G91" s="22" t="str">
        <f t="shared" si="15"/>
        <v> </v>
      </c>
    </row>
    <row r="92" spans="1:7" ht="12.75" hidden="1">
      <c r="A92" s="192" t="s">
        <v>130</v>
      </c>
      <c r="B92" s="192"/>
      <c r="C92" s="192"/>
      <c r="D92" s="42" t="str">
        <f t="shared" si="12"/>
        <v> </v>
      </c>
      <c r="E92" s="20" t="str">
        <f t="shared" si="13"/>
        <v> </v>
      </c>
      <c r="F92" s="43" t="str">
        <f t="shared" si="14"/>
        <v> </v>
      </c>
      <c r="G92" s="22" t="str">
        <f t="shared" si="15"/>
        <v> </v>
      </c>
    </row>
    <row r="93" spans="1:7" ht="12.75" hidden="1">
      <c r="A93" s="192" t="s">
        <v>131</v>
      </c>
      <c r="B93" s="192"/>
      <c r="C93" s="192"/>
      <c r="D93" s="42" t="str">
        <f t="shared" si="12"/>
        <v> </v>
      </c>
      <c r="E93" s="20" t="str">
        <f t="shared" si="13"/>
        <v> </v>
      </c>
      <c r="F93" s="43" t="str">
        <f t="shared" si="14"/>
        <v> </v>
      </c>
      <c r="G93" s="22" t="str">
        <f t="shared" si="15"/>
        <v> </v>
      </c>
    </row>
    <row r="94" spans="1:7" ht="12.75" hidden="1">
      <c r="A94" s="192" t="s">
        <v>132</v>
      </c>
      <c r="B94" s="192"/>
      <c r="C94" s="192"/>
      <c r="D94" s="42" t="str">
        <f t="shared" si="12"/>
        <v> </v>
      </c>
      <c r="E94" s="20" t="str">
        <f t="shared" si="13"/>
        <v> </v>
      </c>
      <c r="F94" s="43" t="str">
        <f t="shared" si="14"/>
        <v> </v>
      </c>
      <c r="G94" s="22" t="str">
        <f t="shared" si="15"/>
        <v> </v>
      </c>
    </row>
    <row r="95" spans="1:7" ht="12.75" hidden="1">
      <c r="A95" s="192" t="s">
        <v>133</v>
      </c>
      <c r="B95" s="192"/>
      <c r="C95" s="192"/>
      <c r="D95" s="42" t="str">
        <f t="shared" si="12"/>
        <v> </v>
      </c>
      <c r="E95" s="20" t="str">
        <f t="shared" si="13"/>
        <v> </v>
      </c>
      <c r="F95" s="43" t="str">
        <f t="shared" si="14"/>
        <v> </v>
      </c>
      <c r="G95" s="22" t="str">
        <f t="shared" si="15"/>
        <v> </v>
      </c>
    </row>
    <row r="96" spans="2:7" ht="12.75">
      <c r="B96" s="34"/>
      <c r="E96" s="30"/>
      <c r="F96" s="28"/>
      <c r="G96" s="35"/>
    </row>
    <row r="97" ht="12.75">
      <c r="A97" s="26" t="s">
        <v>76</v>
      </c>
    </row>
    <row r="98" spans="2:6" ht="12.75">
      <c r="B98" s="1" t="s">
        <v>77</v>
      </c>
      <c r="F98" s="44">
        <f>D78</f>
        <v>45186</v>
      </c>
    </row>
    <row r="99" spans="2:9" ht="12.75">
      <c r="B99" s="1" t="s">
        <v>78</v>
      </c>
      <c r="F99" s="44">
        <f>D83+30</f>
        <v>45369</v>
      </c>
      <c r="G99" s="45">
        <f>ROUND(((G24+G25)*((100-A33)/100))+(G29*(100-A33)/100),2)</f>
        <v>4352802</v>
      </c>
      <c r="I99" s="22"/>
    </row>
    <row r="100" ht="12.75">
      <c r="B100" s="1" t="s">
        <v>79</v>
      </c>
    </row>
    <row r="102" spans="1:4" ht="12.75">
      <c r="A102" s="32" t="s">
        <v>80</v>
      </c>
      <c r="B102" s="46"/>
      <c r="C102" s="46"/>
      <c r="D102" s="46"/>
    </row>
    <row r="103" spans="1:7" ht="12.75">
      <c r="A103" s="158" t="s">
        <v>118</v>
      </c>
      <c r="B103" s="158"/>
      <c r="C103" s="158"/>
      <c r="D103" s="158"/>
      <c r="E103" s="158"/>
      <c r="F103" s="158"/>
      <c r="G103" s="158"/>
    </row>
    <row r="104" spans="1:4" ht="12.75">
      <c r="A104" s="46" t="s">
        <v>81</v>
      </c>
      <c r="B104" s="46"/>
      <c r="C104" s="46"/>
      <c r="D104" s="46"/>
    </row>
    <row r="105" spans="1:4" ht="12.75">
      <c r="A105" s="46" t="s">
        <v>82</v>
      </c>
      <c r="B105" s="46"/>
      <c r="C105" s="46"/>
      <c r="D105" s="46"/>
    </row>
    <row r="106" spans="1:4" ht="12.75">
      <c r="A106" s="46" t="s">
        <v>83</v>
      </c>
      <c r="B106" s="46"/>
      <c r="C106" s="46"/>
      <c r="D106" s="46"/>
    </row>
    <row r="107" spans="1:4" ht="12.75">
      <c r="A107" s="47" t="s">
        <v>84</v>
      </c>
      <c r="B107" s="46"/>
      <c r="C107" s="46"/>
      <c r="D107" s="46"/>
    </row>
    <row r="108" spans="1:4" ht="12.75">
      <c r="A108" s="47" t="s">
        <v>85</v>
      </c>
      <c r="B108" s="46"/>
      <c r="C108" s="46"/>
      <c r="D108" s="46"/>
    </row>
    <row r="109" spans="1:4" ht="12.75">
      <c r="A109" s="47" t="s">
        <v>86</v>
      </c>
      <c r="B109" s="46"/>
      <c r="C109" s="46"/>
      <c r="D109" s="46"/>
    </row>
    <row r="110" spans="1:4" ht="12.75">
      <c r="A110" s="47" t="s">
        <v>87</v>
      </c>
      <c r="B110" s="46"/>
      <c r="C110" s="46"/>
      <c r="D110" s="46"/>
    </row>
    <row r="111" spans="1:4" ht="12.75">
      <c r="A111" s="47" t="s">
        <v>88</v>
      </c>
      <c r="B111" s="46"/>
      <c r="C111" s="46"/>
      <c r="D111" s="46"/>
    </row>
    <row r="112" spans="1:7" ht="12.75">
      <c r="A112" s="158" t="s">
        <v>117</v>
      </c>
      <c r="B112" s="158"/>
      <c r="C112" s="158"/>
      <c r="D112" s="158"/>
      <c r="E112" s="158"/>
      <c r="F112" s="158"/>
      <c r="G112" s="158"/>
    </row>
  </sheetData>
  <sheetProtection/>
  <mergeCells count="54">
    <mergeCell ref="A91:C91"/>
    <mergeCell ref="A92:C92"/>
    <mergeCell ref="A93:C93"/>
    <mergeCell ref="A94:C94"/>
    <mergeCell ref="A95:C95"/>
    <mergeCell ref="A85:C85"/>
    <mergeCell ref="A86:C86"/>
    <mergeCell ref="A87:C87"/>
    <mergeCell ref="A88:C88"/>
    <mergeCell ref="A89:C89"/>
    <mergeCell ref="A90:C90"/>
    <mergeCell ref="A66:C66"/>
    <mergeCell ref="A60:C60"/>
    <mergeCell ref="A61:C61"/>
    <mergeCell ref="A69:C69"/>
    <mergeCell ref="A55:C55"/>
    <mergeCell ref="A84:C84"/>
    <mergeCell ref="A70:C70"/>
    <mergeCell ref="A68:C68"/>
    <mergeCell ref="A67:C67"/>
    <mergeCell ref="B1:F1"/>
    <mergeCell ref="A112:G112"/>
    <mergeCell ref="A71:C71"/>
    <mergeCell ref="A64:C64"/>
    <mergeCell ref="A53:C53"/>
    <mergeCell ref="A54:C54"/>
    <mergeCell ref="A59:C59"/>
    <mergeCell ref="A56:C56"/>
    <mergeCell ref="A57:C57"/>
    <mergeCell ref="A103:G103"/>
    <mergeCell ref="A62:C62"/>
    <mergeCell ref="A63:C63"/>
    <mergeCell ref="A65:C65"/>
    <mergeCell ref="A72:C72"/>
    <mergeCell ref="A73:C73"/>
    <mergeCell ref="A74:C74"/>
    <mergeCell ref="A75:C75"/>
    <mergeCell ref="B2:F2"/>
    <mergeCell ref="A3:G3"/>
    <mergeCell ref="A58:C58"/>
    <mergeCell ref="A50:C50"/>
    <mergeCell ref="A51:C51"/>
    <mergeCell ref="A49:C49"/>
    <mergeCell ref="A52:C52"/>
    <mergeCell ref="B47:C47"/>
    <mergeCell ref="A48:C48"/>
    <mergeCell ref="A82:C82"/>
    <mergeCell ref="A83:C83"/>
    <mergeCell ref="A76:C76"/>
    <mergeCell ref="A77:C77"/>
    <mergeCell ref="A78:C78"/>
    <mergeCell ref="A79:C79"/>
    <mergeCell ref="A80:C80"/>
    <mergeCell ref="A81:C81"/>
  </mergeCells>
  <conditionalFormatting sqref="B11 B25">
    <cfRule type="expression" priority="1" dxfId="27" stopIfTrue="1">
      <formula>G11=0</formula>
    </cfRule>
  </conditionalFormatting>
  <conditionalFormatting sqref="A49:C56">
    <cfRule type="expression" priority="2" dxfId="27" stopIfTrue="1">
      <formula>VALUE(NoDPSchedule)&lt;VALUE(LEFT(A49,1))</formula>
    </cfRule>
  </conditionalFormatting>
  <conditionalFormatting sqref="A57:C95">
    <cfRule type="expression" priority="3" dxfId="27" stopIfTrue="1">
      <formula>VALUE(NoDPSchedule)&lt;VALUE(LEFT(A57,2))</formula>
    </cfRule>
  </conditionalFormatting>
  <conditionalFormatting sqref="G11 G25">
    <cfRule type="expression" priority="4" dxfId="27" stopIfTrue="1">
      <formula>G11=0</formula>
    </cfRule>
  </conditionalFormatting>
  <conditionalFormatting sqref="D4">
    <cfRule type="expression" priority="5" dxfId="28" stopIfTrue="1">
      <formula>G5&lt;=TODAY()</formula>
    </cfRule>
  </conditionalFormatting>
  <printOptions horizontalCentered="1"/>
  <pageMargins left="0.236220472440945" right="0.236220472440945" top="0.511811023622047" bottom="0.511811023622047" header="0.511811023622047" footer="0.511811023622047"/>
  <pageSetup fitToHeight="1" fitToWidth="1"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0"/>
  <sheetViews>
    <sheetView zoomScalePageLayoutView="0" workbookViewId="0" topLeftCell="A1">
      <selection activeCell="H11" sqref="H1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62" t="s">
        <v>0</v>
      </c>
      <c r="C1" s="162"/>
      <c r="D1" s="162"/>
      <c r="E1" s="162"/>
      <c r="F1" s="162"/>
      <c r="G1" s="3"/>
    </row>
    <row r="2" spans="1:7" ht="14.25" customHeight="1">
      <c r="A2" s="4"/>
      <c r="B2" s="163" t="s">
        <v>1</v>
      </c>
      <c r="C2" s="163"/>
      <c r="D2" s="163"/>
      <c r="E2" s="163"/>
      <c r="F2" s="163"/>
      <c r="G2" s="5"/>
    </row>
    <row r="3" spans="1:7" ht="30" customHeight="1">
      <c r="A3" s="164" t="s">
        <v>2</v>
      </c>
      <c r="B3" s="165"/>
      <c r="C3" s="165"/>
      <c r="D3" s="165"/>
      <c r="E3" s="165"/>
      <c r="F3" s="165"/>
      <c r="G3" s="16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67" t="s">
        <v>7</v>
      </c>
      <c r="G6" s="167"/>
    </row>
    <row r="7" spans="1:7" ht="12.75">
      <c r="A7" s="12" t="s">
        <v>8</v>
      </c>
      <c r="B7" s="12">
        <v>503</v>
      </c>
      <c r="C7" s="12" t="s">
        <v>9</v>
      </c>
      <c r="D7" s="12">
        <v>37.7</v>
      </c>
      <c r="E7" s="12"/>
      <c r="F7" s="168" t="s">
        <v>119</v>
      </c>
      <c r="G7" s="168"/>
    </row>
    <row r="10" spans="1:7" ht="12.75">
      <c r="A10" s="13" t="s">
        <v>10</v>
      </c>
      <c r="B10" s="13"/>
      <c r="C10" s="14"/>
      <c r="D10" s="15"/>
      <c r="E10" s="15"/>
      <c r="F10" s="16" t="s">
        <v>11</v>
      </c>
      <c r="G10" s="17">
        <v>7291000</v>
      </c>
    </row>
    <row r="11" spans="1:7" ht="12.75">
      <c r="A11" s="1" t="s">
        <v>12</v>
      </c>
      <c r="B11" s="1" t="s">
        <v>13</v>
      </c>
      <c r="C11" s="18"/>
      <c r="F11" s="19"/>
      <c r="G11" s="20">
        <f>ROUND(IF(ISERROR(FIND("PARKING",Model,1)),IF(SellingPrice&gt;3199200,(G10-(G10/1.12)),0),(G10-(G10/1.12))),2)</f>
        <v>781178.57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65098.21430000001</v>
      </c>
      <c r="I12" s="22"/>
      <c r="J12" s="22"/>
    </row>
    <row r="13" spans="2:10" ht="12.75" hidden="1">
      <c r="B13" s="1" t="s">
        <v>14</v>
      </c>
      <c r="G13" s="22">
        <v>0</v>
      </c>
      <c r="I13" s="22"/>
      <c r="J13" s="22"/>
    </row>
    <row r="14" spans="2:10" ht="12.75" hidden="1">
      <c r="B14" s="1" t="s">
        <v>15</v>
      </c>
      <c r="G14" s="22">
        <v>0</v>
      </c>
      <c r="I14" s="22"/>
      <c r="J14" s="22"/>
    </row>
    <row r="15" spans="2:9" ht="12.75" hidden="1">
      <c r="B15" s="1" t="s">
        <v>16</v>
      </c>
      <c r="G15" s="22">
        <v>0</v>
      </c>
      <c r="I15" s="22"/>
    </row>
    <row r="16" spans="2:9" ht="12.75" hidden="1">
      <c r="B16" s="1" t="s">
        <v>17</v>
      </c>
      <c r="G16" s="22">
        <v>0</v>
      </c>
      <c r="I16" s="22"/>
    </row>
    <row r="17" spans="2:9" ht="12.75" hidden="1">
      <c r="B17" s="1" t="s">
        <v>18</v>
      </c>
      <c r="G17" s="22">
        <v>0</v>
      </c>
      <c r="I17" s="22"/>
    </row>
    <row r="18" spans="2:10" ht="12.75" hidden="1">
      <c r="B18" s="1" t="s">
        <v>19</v>
      </c>
      <c r="G18" s="22">
        <v>0</v>
      </c>
      <c r="H18" s="22"/>
      <c r="I18" s="22"/>
      <c r="J18" s="22"/>
    </row>
    <row r="19" spans="2:10" ht="12.75" hidden="1">
      <c r="B19" s="1" t="s">
        <v>20</v>
      </c>
      <c r="G19" s="22">
        <v>0</v>
      </c>
      <c r="J19" s="22"/>
    </row>
    <row r="20" spans="2:10" ht="12.75" hidden="1">
      <c r="B20" s="1" t="s">
        <v>21</v>
      </c>
      <c r="G20" s="22">
        <v>0</v>
      </c>
      <c r="J20" s="22"/>
    </row>
    <row r="21" spans="2:10" ht="12.75" hidden="1">
      <c r="B21" s="1" t="s">
        <v>22</v>
      </c>
      <c r="G21" s="22">
        <v>0</v>
      </c>
      <c r="J21" s="22"/>
    </row>
    <row r="22" spans="2:10" ht="12.75" hidden="1">
      <c r="B22" s="1" t="s">
        <v>23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24</v>
      </c>
      <c r="B24" s="24"/>
      <c r="C24" s="15"/>
      <c r="D24" s="15"/>
      <c r="E24" s="15"/>
      <c r="F24" s="16" t="s">
        <v>11</v>
      </c>
      <c r="G24" s="25">
        <f>(SellingPrice-G11)-SUM(G12:G22)</f>
        <v>6444723.2157</v>
      </c>
    </row>
    <row r="25" spans="1:9" ht="12.75">
      <c r="A25" s="1" t="s">
        <v>25</v>
      </c>
      <c r="B25" s="1" t="s">
        <v>13</v>
      </c>
      <c r="G25" s="22">
        <f>ROUND(IF(ISERROR(FIND("PARKING",Model,1)),IF(G24&gt;3199200,G24*12%,0),G24*12%),2)</f>
        <v>773366.79</v>
      </c>
      <c r="I25" s="22"/>
    </row>
    <row r="26" spans="1:7" ht="12.75" hidden="1">
      <c r="A26" s="21">
        <v>7</v>
      </c>
      <c r="B26" s="1" t="s">
        <v>26</v>
      </c>
      <c r="G26" s="22">
        <f>ROUND(G24*(A26/100),2)</f>
        <v>451130.63</v>
      </c>
    </row>
    <row r="27" spans="1:7" ht="12.75" hidden="1">
      <c r="A27" s="21"/>
      <c r="B27" s="1" t="s">
        <v>27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28</v>
      </c>
      <c r="G28" s="22">
        <v>0</v>
      </c>
    </row>
    <row r="29" spans="1:7" ht="13.5" customHeight="1" thickBot="1">
      <c r="A29" s="21"/>
      <c r="B29" s="1" t="s">
        <v>26</v>
      </c>
      <c r="G29" s="22">
        <f>ROUND(SUM(G26,G28,F27),2)</f>
        <v>451130.63</v>
      </c>
    </row>
    <row r="30" spans="1:7" ht="13.5" customHeight="1" thickTop="1">
      <c r="A30" s="13" t="s">
        <v>29</v>
      </c>
      <c r="B30" s="15"/>
      <c r="C30" s="15"/>
      <c r="D30" s="15"/>
      <c r="E30" s="15"/>
      <c r="F30" s="16" t="s">
        <v>11</v>
      </c>
      <c r="G30" s="25">
        <f>G24+SUM(G25,G29)</f>
        <v>7669220.6356999995</v>
      </c>
    </row>
    <row r="32" ht="12.75">
      <c r="A32" s="26" t="s">
        <v>30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1443618</v>
      </c>
    </row>
    <row r="34" spans="1:7" ht="13.5" customHeight="1" thickBot="1">
      <c r="A34" s="26"/>
      <c r="B34" s="1" t="s">
        <v>31</v>
      </c>
      <c r="G34" s="22">
        <f>ROUND(G29*(A33/100),2)</f>
        <v>90226.13</v>
      </c>
    </row>
    <row r="35" spans="1:7" ht="13.5" customHeight="1" thickTop="1">
      <c r="A35" s="13" t="s">
        <v>32</v>
      </c>
      <c r="B35" s="15"/>
      <c r="C35" s="15"/>
      <c r="D35" s="15"/>
      <c r="E35" s="15"/>
      <c r="F35" s="16" t="s">
        <v>11</v>
      </c>
      <c r="G35" s="25">
        <f>SUM(G33:G34)</f>
        <v>1533844.13</v>
      </c>
    </row>
    <row r="36" spans="1:7" ht="13.5" customHeight="1" thickBot="1">
      <c r="A36" s="1" t="s">
        <v>12</v>
      </c>
      <c r="B36" s="1" t="s">
        <v>33</v>
      </c>
      <c r="F36" s="28">
        <f>DATE(2019,2,22)</f>
        <v>43518</v>
      </c>
      <c r="G36" s="22">
        <v>20000</v>
      </c>
    </row>
    <row r="37" spans="1:7" ht="13.5" customHeight="1" thickTop="1">
      <c r="A37" s="13" t="s">
        <v>34</v>
      </c>
      <c r="B37" s="15"/>
      <c r="C37" s="15"/>
      <c r="D37" s="15"/>
      <c r="E37" s="29"/>
      <c r="F37" s="16" t="s">
        <v>11</v>
      </c>
      <c r="G37" s="25">
        <f>G35-G36</f>
        <v>1513844.13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701809</v>
      </c>
      <c r="H39" s="22"/>
      <c r="I39" s="22"/>
      <c r="J39" s="31"/>
    </row>
    <row r="40" spans="2:10" ht="13.5" customHeight="1" thickBot="1">
      <c r="B40" s="1" t="s">
        <v>26</v>
      </c>
      <c r="E40" s="30"/>
      <c r="F40" s="28"/>
      <c r="G40" s="22">
        <f>ROUND(G29*(A39/100),2)</f>
        <v>45113.06</v>
      </c>
      <c r="J40" s="22"/>
    </row>
    <row r="41" spans="2:7" ht="13.5" customHeight="1" thickTop="1">
      <c r="B41" s="32" t="s">
        <v>35</v>
      </c>
      <c r="E41" s="30"/>
      <c r="F41" s="28">
        <f>ReservationDate+19</f>
        <v>43537</v>
      </c>
      <c r="G41" s="33">
        <f>SUM(G39:G40)</f>
        <v>746922.06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721809</v>
      </c>
    </row>
    <row r="44" spans="2:7" ht="13.5" customHeight="1" thickBot="1">
      <c r="B44" s="36" t="s">
        <v>26</v>
      </c>
      <c r="E44" s="30"/>
      <c r="F44" s="28"/>
      <c r="G44" s="22">
        <f>SUM(G34:G34)-G40</f>
        <v>45113.07000000001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766922.0700000001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93" t="s">
        <v>36</v>
      </c>
      <c r="C47" s="193"/>
      <c r="D47" s="38" t="s">
        <v>37</v>
      </c>
      <c r="E47" s="39" t="s">
        <v>38</v>
      </c>
      <c r="F47" s="40" t="s">
        <v>26</v>
      </c>
      <c r="G47" s="41" t="s">
        <v>39</v>
      </c>
    </row>
    <row r="48" spans="1:7" ht="12.75">
      <c r="A48" s="192" t="s">
        <v>40</v>
      </c>
      <c r="B48" s="192"/>
      <c r="C48" s="192"/>
      <c r="D48" s="42">
        <f>IF(AND(DAY(F41)&gt;2,DAY(F41)&lt;19),DATE(YEAR(F41+30),MONTH(F41+30),DAY(17)),DATE(YEAR(F41+30),IF(DAY(F41)&gt;18,MONTH(F41+30)+1,MONTH(F41+30)),DAY(2)))</f>
        <v>43572</v>
      </c>
      <c r="E48" s="20">
        <f>ROUND(G43/A47,2)</f>
        <v>30075.38</v>
      </c>
      <c r="F48" s="43">
        <f>ROUND(G44/A47,2)</f>
        <v>1879.71</v>
      </c>
      <c r="G48" s="22">
        <f>SUM(E48:F48)</f>
        <v>31955.09</v>
      </c>
    </row>
    <row r="49" spans="1:7" ht="12.75">
      <c r="A49" s="192" t="s">
        <v>41</v>
      </c>
      <c r="B49" s="192"/>
      <c r="C49" s="192"/>
      <c r="D49" s="42">
        <f>IF($A$47&lt;VALUE(LEFT(A49,1))," ",DATE(YEAR(D48+30),MONTH(D48+30),DAY(D48)))</f>
        <v>43602</v>
      </c>
      <c r="E49" s="20">
        <f>IF($A$47&lt;VALUE(LEFT(A49,1))," ",IF($A$47=VALUE(LEFT(A49,1)),$G$43-($E$48*($A$47-1)),E48))</f>
        <v>30075.38</v>
      </c>
      <c r="F49" s="43">
        <f>IF($A$47&lt;VALUE(LEFT(A49,1))," ",IF($A$47=VALUE(LEFT(A49,1)),$G$44-($F$48*($A$47-1)),F48))</f>
        <v>1879.71</v>
      </c>
      <c r="G49" s="22">
        <f>IF($A$47&lt;VALUE(LEFT(A49,1))," ",SUM(E49:F49))</f>
        <v>31955.09</v>
      </c>
    </row>
    <row r="50" spans="1:7" ht="12.75">
      <c r="A50" s="192" t="s">
        <v>42</v>
      </c>
      <c r="B50" s="192"/>
      <c r="C50" s="192"/>
      <c r="D50" s="42">
        <f>IF($A$47&lt;VALUE(LEFT(A50,1))," ",DATE(YEAR(D49+30),MONTH(D49+30),DAY(D49)))</f>
        <v>43633</v>
      </c>
      <c r="E50" s="20">
        <f aca="true" t="shared" si="0" ref="E50:E56">IF($A$47&lt;VALUE(LEFT(A50,1))," ",IF($A$47=VALUE(LEFT(A50,1)),$G$43-($E$48*($A$47-1)),E49))</f>
        <v>30075.38</v>
      </c>
      <c r="F50" s="43">
        <f aca="true" t="shared" si="1" ref="F50:F56">IF($A$47&lt;VALUE(LEFT(A50,1))," ",IF($A$47=VALUE(LEFT(A50,1)),$G$44-($F$48*($A$47-1)),F49))</f>
        <v>1879.71</v>
      </c>
      <c r="G50" s="22">
        <f aca="true" t="shared" si="2" ref="G50:G56">IF($A$47&lt;VALUE(LEFT(A50,1))," ",SUM(E50:F50))</f>
        <v>31955.09</v>
      </c>
    </row>
    <row r="51" spans="1:7" ht="12.75">
      <c r="A51" s="192" t="s">
        <v>43</v>
      </c>
      <c r="B51" s="192"/>
      <c r="C51" s="192"/>
      <c r="D51" s="42">
        <f aca="true" t="shared" si="3" ref="D51:D56">IF($A$47&lt;VALUE(LEFT(A51,1))," ",DATE(YEAR(D50+30),MONTH(D50+30),DAY(D50)))</f>
        <v>43663</v>
      </c>
      <c r="E51" s="20">
        <f t="shared" si="0"/>
        <v>30075.38</v>
      </c>
      <c r="F51" s="43">
        <f t="shared" si="1"/>
        <v>1879.71</v>
      </c>
      <c r="G51" s="22">
        <f t="shared" si="2"/>
        <v>31955.09</v>
      </c>
    </row>
    <row r="52" spans="1:7" ht="12.75">
      <c r="A52" s="192" t="s">
        <v>44</v>
      </c>
      <c r="B52" s="192"/>
      <c r="C52" s="192"/>
      <c r="D52" s="42">
        <f t="shared" si="3"/>
        <v>43694</v>
      </c>
      <c r="E52" s="20">
        <f t="shared" si="0"/>
        <v>30075.38</v>
      </c>
      <c r="F52" s="43">
        <f t="shared" si="1"/>
        <v>1879.71</v>
      </c>
      <c r="G52" s="22">
        <f t="shared" si="2"/>
        <v>31955.09</v>
      </c>
    </row>
    <row r="53" spans="1:7" ht="12.75">
      <c r="A53" s="192" t="s">
        <v>45</v>
      </c>
      <c r="B53" s="192"/>
      <c r="C53" s="192"/>
      <c r="D53" s="42">
        <f t="shared" si="3"/>
        <v>43725</v>
      </c>
      <c r="E53" s="20">
        <f t="shared" si="0"/>
        <v>30075.38</v>
      </c>
      <c r="F53" s="43">
        <f t="shared" si="1"/>
        <v>1879.71</v>
      </c>
      <c r="G53" s="22">
        <f t="shared" si="2"/>
        <v>31955.09</v>
      </c>
    </row>
    <row r="54" spans="1:7" ht="12.75">
      <c r="A54" s="192" t="s">
        <v>46</v>
      </c>
      <c r="B54" s="192"/>
      <c r="C54" s="192"/>
      <c r="D54" s="42">
        <f t="shared" si="3"/>
        <v>43755</v>
      </c>
      <c r="E54" s="20">
        <f t="shared" si="0"/>
        <v>30075.38</v>
      </c>
      <c r="F54" s="43">
        <f t="shared" si="1"/>
        <v>1879.71</v>
      </c>
      <c r="G54" s="22">
        <f t="shared" si="2"/>
        <v>31955.09</v>
      </c>
    </row>
    <row r="55" spans="1:7" ht="12.75">
      <c r="A55" s="192" t="s">
        <v>47</v>
      </c>
      <c r="B55" s="192"/>
      <c r="C55" s="192"/>
      <c r="D55" s="42">
        <f t="shared" si="3"/>
        <v>43786</v>
      </c>
      <c r="E55" s="20">
        <f t="shared" si="0"/>
        <v>30075.38</v>
      </c>
      <c r="F55" s="43">
        <f t="shared" si="1"/>
        <v>1879.71</v>
      </c>
      <c r="G55" s="22">
        <f t="shared" si="2"/>
        <v>31955.09</v>
      </c>
    </row>
    <row r="56" spans="1:7" ht="12.75">
      <c r="A56" s="192" t="s">
        <v>48</v>
      </c>
      <c r="B56" s="192"/>
      <c r="C56" s="192"/>
      <c r="D56" s="42">
        <f t="shared" si="3"/>
        <v>43816</v>
      </c>
      <c r="E56" s="20">
        <f t="shared" si="0"/>
        <v>30075.38</v>
      </c>
      <c r="F56" s="43">
        <f t="shared" si="1"/>
        <v>1879.71</v>
      </c>
      <c r="G56" s="22">
        <f t="shared" si="2"/>
        <v>31955.09</v>
      </c>
    </row>
    <row r="57" spans="1:7" ht="12.75">
      <c r="A57" s="192" t="s">
        <v>49</v>
      </c>
      <c r="B57" s="192"/>
      <c r="C57" s="192"/>
      <c r="D57" s="42">
        <f>IF($A$47&lt;VALUE(LEFT(A57,2))," ",DATE(YEAR(D56+30),MONTH(D56+30),DAY(D56)))</f>
        <v>43847</v>
      </c>
      <c r="E57" s="20">
        <f>IF($A$47&lt;VALUE(LEFT(A57,2))," ",IF($A$47=VALUE(LEFT(A57,2)),$G$43-($E$48*($A$47-1)),E56))</f>
        <v>30075.38</v>
      </c>
      <c r="F57" s="43">
        <f>IF($A$47&lt;VALUE(LEFT(A57,2))," ",IF($A$47=VALUE(LEFT(A57,2)),$G$44-($F$48*($A$47-1)),F56))</f>
        <v>1879.71</v>
      </c>
      <c r="G57" s="22">
        <f>IF($A$47&lt;VALUE(LEFT(A57,2))," ",SUM(E57:F57))</f>
        <v>31955.09</v>
      </c>
    </row>
    <row r="58" spans="1:7" ht="12.75">
      <c r="A58" s="192" t="s">
        <v>50</v>
      </c>
      <c r="B58" s="192"/>
      <c r="C58" s="192"/>
      <c r="D58" s="42">
        <f aca="true" t="shared" si="4" ref="D58:D82">IF($A$47&lt;VALUE(LEFT(A58,2))," ",DATE(YEAR(D57+30),MONTH(D57+30),DAY(D57)))</f>
        <v>43878</v>
      </c>
      <c r="E58" s="20">
        <f aca="true" t="shared" si="5" ref="E58:E82">IF($A$47&lt;VALUE(LEFT(A58,2))," ",IF($A$47=VALUE(LEFT(A58,2)),$G$43-($E$48*($A$47-1)),E57))</f>
        <v>30075.38</v>
      </c>
      <c r="F58" s="43">
        <f aca="true" t="shared" si="6" ref="F58:F82">IF($A$47&lt;VALUE(LEFT(A58,2))," ",IF($A$47=VALUE(LEFT(A58,2)),$G$44-($F$48*($A$47-1)),F57))</f>
        <v>1879.71</v>
      </c>
      <c r="G58" s="22">
        <f aca="true" t="shared" si="7" ref="G58:G82">IF($A$47&lt;VALUE(LEFT(A58,2))," ",SUM(E58:F58))</f>
        <v>31955.09</v>
      </c>
    </row>
    <row r="59" spans="1:7" ht="12.75">
      <c r="A59" s="192" t="s">
        <v>51</v>
      </c>
      <c r="B59" s="192"/>
      <c r="C59" s="192"/>
      <c r="D59" s="42">
        <f t="shared" si="4"/>
        <v>43907</v>
      </c>
      <c r="E59" s="20">
        <f t="shared" si="5"/>
        <v>30075.38</v>
      </c>
      <c r="F59" s="43">
        <f t="shared" si="6"/>
        <v>1879.71</v>
      </c>
      <c r="G59" s="22">
        <f t="shared" si="7"/>
        <v>31955.09</v>
      </c>
    </row>
    <row r="60" spans="1:7" ht="12.75">
      <c r="A60" s="192" t="s">
        <v>52</v>
      </c>
      <c r="B60" s="192"/>
      <c r="C60" s="192"/>
      <c r="D60" s="42">
        <f t="shared" si="4"/>
        <v>43938</v>
      </c>
      <c r="E60" s="20">
        <f t="shared" si="5"/>
        <v>30075.38</v>
      </c>
      <c r="F60" s="43">
        <f t="shared" si="6"/>
        <v>1879.71</v>
      </c>
      <c r="G60" s="22">
        <f t="shared" si="7"/>
        <v>31955.09</v>
      </c>
    </row>
    <row r="61" spans="1:7" ht="12.75">
      <c r="A61" s="192" t="s">
        <v>53</v>
      </c>
      <c r="B61" s="192"/>
      <c r="C61" s="192"/>
      <c r="D61" s="42">
        <f t="shared" si="4"/>
        <v>43968</v>
      </c>
      <c r="E61" s="20">
        <f t="shared" si="5"/>
        <v>30075.38</v>
      </c>
      <c r="F61" s="43">
        <f t="shared" si="6"/>
        <v>1879.71</v>
      </c>
      <c r="G61" s="22">
        <f t="shared" si="7"/>
        <v>31955.09</v>
      </c>
    </row>
    <row r="62" spans="1:7" ht="12.75">
      <c r="A62" s="192" t="s">
        <v>54</v>
      </c>
      <c r="B62" s="192"/>
      <c r="C62" s="192"/>
      <c r="D62" s="42">
        <f t="shared" si="4"/>
        <v>43999</v>
      </c>
      <c r="E62" s="20">
        <f t="shared" si="5"/>
        <v>30075.38</v>
      </c>
      <c r="F62" s="43">
        <f t="shared" si="6"/>
        <v>1879.71</v>
      </c>
      <c r="G62" s="22">
        <f t="shared" si="7"/>
        <v>31955.09</v>
      </c>
    </row>
    <row r="63" spans="1:7" ht="12.75">
      <c r="A63" s="192" t="s">
        <v>55</v>
      </c>
      <c r="B63" s="192"/>
      <c r="C63" s="192"/>
      <c r="D63" s="42">
        <f t="shared" si="4"/>
        <v>44029</v>
      </c>
      <c r="E63" s="20">
        <f t="shared" si="5"/>
        <v>30075.38</v>
      </c>
      <c r="F63" s="43">
        <f t="shared" si="6"/>
        <v>1879.71</v>
      </c>
      <c r="G63" s="22">
        <f t="shared" si="7"/>
        <v>31955.09</v>
      </c>
    </row>
    <row r="64" spans="1:7" ht="12.75">
      <c r="A64" s="192" t="s">
        <v>56</v>
      </c>
      <c r="B64" s="192"/>
      <c r="C64" s="192"/>
      <c r="D64" s="42">
        <f t="shared" si="4"/>
        <v>44060</v>
      </c>
      <c r="E64" s="20">
        <f t="shared" si="5"/>
        <v>30075.38</v>
      </c>
      <c r="F64" s="43">
        <f t="shared" si="6"/>
        <v>1879.71</v>
      </c>
      <c r="G64" s="22">
        <f t="shared" si="7"/>
        <v>31955.09</v>
      </c>
    </row>
    <row r="65" spans="1:7" ht="12.75">
      <c r="A65" s="192" t="s">
        <v>57</v>
      </c>
      <c r="B65" s="192"/>
      <c r="C65" s="192"/>
      <c r="D65" s="42">
        <f t="shared" si="4"/>
        <v>44091</v>
      </c>
      <c r="E65" s="20">
        <f t="shared" si="5"/>
        <v>30075.38</v>
      </c>
      <c r="F65" s="43">
        <f t="shared" si="6"/>
        <v>1879.71</v>
      </c>
      <c r="G65" s="22">
        <f t="shared" si="7"/>
        <v>31955.09</v>
      </c>
    </row>
    <row r="66" spans="1:7" ht="12.75">
      <c r="A66" s="192" t="s">
        <v>58</v>
      </c>
      <c r="B66" s="192"/>
      <c r="C66" s="192"/>
      <c r="D66" s="42">
        <f t="shared" si="4"/>
        <v>44121</v>
      </c>
      <c r="E66" s="20">
        <f t="shared" si="5"/>
        <v>30075.38</v>
      </c>
      <c r="F66" s="43">
        <f t="shared" si="6"/>
        <v>1879.71</v>
      </c>
      <c r="G66" s="22">
        <f t="shared" si="7"/>
        <v>31955.09</v>
      </c>
    </row>
    <row r="67" spans="1:7" ht="12.75">
      <c r="A67" s="192" t="s">
        <v>59</v>
      </c>
      <c r="B67" s="192"/>
      <c r="C67" s="192"/>
      <c r="D67" s="42">
        <f t="shared" si="4"/>
        <v>44152</v>
      </c>
      <c r="E67" s="20">
        <f t="shared" si="5"/>
        <v>30075.38</v>
      </c>
      <c r="F67" s="43">
        <f t="shared" si="6"/>
        <v>1879.71</v>
      </c>
      <c r="G67" s="22">
        <f t="shared" si="7"/>
        <v>31955.09</v>
      </c>
    </row>
    <row r="68" spans="1:7" ht="12.75">
      <c r="A68" s="192" t="s">
        <v>60</v>
      </c>
      <c r="B68" s="192"/>
      <c r="C68" s="192"/>
      <c r="D68" s="42">
        <f t="shared" si="4"/>
        <v>44182</v>
      </c>
      <c r="E68" s="20">
        <f t="shared" si="5"/>
        <v>30075.38</v>
      </c>
      <c r="F68" s="43">
        <f t="shared" si="6"/>
        <v>1879.71</v>
      </c>
      <c r="G68" s="22">
        <f t="shared" si="7"/>
        <v>31955.09</v>
      </c>
    </row>
    <row r="69" spans="1:7" ht="12.75">
      <c r="A69" s="192" t="s">
        <v>61</v>
      </c>
      <c r="B69" s="192"/>
      <c r="C69" s="192"/>
      <c r="D69" s="42">
        <f t="shared" si="4"/>
        <v>44213</v>
      </c>
      <c r="E69" s="20">
        <f t="shared" si="5"/>
        <v>30075.38</v>
      </c>
      <c r="F69" s="43">
        <f t="shared" si="6"/>
        <v>1879.71</v>
      </c>
      <c r="G69" s="22">
        <f t="shared" si="7"/>
        <v>31955.09</v>
      </c>
    </row>
    <row r="70" spans="1:7" ht="12.75">
      <c r="A70" s="192" t="s">
        <v>62</v>
      </c>
      <c r="B70" s="192"/>
      <c r="C70" s="192"/>
      <c r="D70" s="42">
        <f t="shared" si="4"/>
        <v>44244</v>
      </c>
      <c r="E70" s="20">
        <f t="shared" si="5"/>
        <v>30075.38</v>
      </c>
      <c r="F70" s="43">
        <f t="shared" si="6"/>
        <v>1879.71</v>
      </c>
      <c r="G70" s="22">
        <f t="shared" si="7"/>
        <v>31955.09</v>
      </c>
    </row>
    <row r="71" spans="1:7" ht="12.75">
      <c r="A71" s="192" t="s">
        <v>63</v>
      </c>
      <c r="B71" s="192"/>
      <c r="C71" s="192"/>
      <c r="D71" s="42">
        <f t="shared" si="4"/>
        <v>44272</v>
      </c>
      <c r="E71" s="20">
        <f t="shared" si="5"/>
        <v>30075.26000000001</v>
      </c>
      <c r="F71" s="43">
        <f t="shared" si="6"/>
        <v>1879.7400000000052</v>
      </c>
      <c r="G71" s="22">
        <f t="shared" si="7"/>
        <v>31955.000000000015</v>
      </c>
    </row>
    <row r="72" spans="1:7" ht="12.75" hidden="1">
      <c r="A72" s="192" t="s">
        <v>64</v>
      </c>
      <c r="B72" s="192"/>
      <c r="C72" s="192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92" t="s">
        <v>65</v>
      </c>
      <c r="B73" s="192"/>
      <c r="C73" s="192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92" t="s">
        <v>66</v>
      </c>
      <c r="B74" s="192"/>
      <c r="C74" s="192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92" t="s">
        <v>67</v>
      </c>
      <c r="B75" s="192"/>
      <c r="C75" s="192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92" t="s">
        <v>68</v>
      </c>
      <c r="B76" s="192"/>
      <c r="C76" s="192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92" t="s">
        <v>69</v>
      </c>
      <c r="B77" s="192"/>
      <c r="C77" s="192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92" t="s">
        <v>70</v>
      </c>
      <c r="B78" s="192"/>
      <c r="C78" s="192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92" t="s">
        <v>71</v>
      </c>
      <c r="B79" s="192"/>
      <c r="C79" s="192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92" t="s">
        <v>72</v>
      </c>
      <c r="B80" s="192"/>
      <c r="C80" s="192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92" t="s">
        <v>73</v>
      </c>
      <c r="B81" s="192"/>
      <c r="C81" s="192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92" t="s">
        <v>74</v>
      </c>
      <c r="B82" s="192"/>
      <c r="C82" s="192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92" t="s">
        <v>75</v>
      </c>
      <c r="B83" s="192"/>
      <c r="C83" s="192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76</v>
      </c>
    </row>
    <row r="86" spans="2:6" ht="12.75">
      <c r="B86" s="1" t="s">
        <v>77</v>
      </c>
      <c r="F86" s="44">
        <f>D66</f>
        <v>44121</v>
      </c>
    </row>
    <row r="87" spans="2:9" ht="12.75">
      <c r="B87" s="1" t="s">
        <v>78</v>
      </c>
      <c r="F87" s="44">
        <f>DATE(YEAR(MAX(D48:D71)+30),MONTH(MAX(D48:D71)+30),DAY(F86))</f>
        <v>44303</v>
      </c>
      <c r="G87" s="45">
        <f>ROUND(((G24+G25)*((100-A33)/100))+(G29*(100-A33)/100),2)</f>
        <v>6135376.51</v>
      </c>
      <c r="I87" s="22"/>
    </row>
    <row r="88" ht="12.75">
      <c r="B88" s="1" t="s">
        <v>79</v>
      </c>
    </row>
    <row r="90" spans="1:4" ht="12.75">
      <c r="A90" s="32" t="s">
        <v>80</v>
      </c>
      <c r="B90" s="46"/>
      <c r="C90" s="46"/>
      <c r="D90" s="46"/>
    </row>
    <row r="91" spans="1:7" ht="12.75">
      <c r="A91" s="158" t="s">
        <v>118</v>
      </c>
      <c r="B91" s="158"/>
      <c r="C91" s="158"/>
      <c r="D91" s="158"/>
      <c r="E91" s="158"/>
      <c r="F91" s="158"/>
      <c r="G91" s="158"/>
    </row>
    <row r="92" spans="1:4" ht="12.75">
      <c r="A92" s="46" t="s">
        <v>81</v>
      </c>
      <c r="B92" s="46"/>
      <c r="C92" s="46"/>
      <c r="D92" s="46"/>
    </row>
    <row r="93" spans="1:4" ht="12.75">
      <c r="A93" s="46" t="s">
        <v>82</v>
      </c>
      <c r="B93" s="46"/>
      <c r="C93" s="46"/>
      <c r="D93" s="46"/>
    </row>
    <row r="94" spans="1:4" ht="12.75">
      <c r="A94" s="46" t="s">
        <v>83</v>
      </c>
      <c r="B94" s="46"/>
      <c r="C94" s="46"/>
      <c r="D94" s="46"/>
    </row>
    <row r="95" spans="1:4" ht="12.75">
      <c r="A95" s="47" t="s">
        <v>84</v>
      </c>
      <c r="B95" s="46"/>
      <c r="C95" s="46"/>
      <c r="D95" s="46"/>
    </row>
    <row r="96" spans="1:4" ht="12.75">
      <c r="A96" s="47" t="s">
        <v>85</v>
      </c>
      <c r="B96" s="46"/>
      <c r="C96" s="46"/>
      <c r="D96" s="46"/>
    </row>
    <row r="97" spans="1:4" ht="12.75">
      <c r="A97" s="47" t="s">
        <v>86</v>
      </c>
      <c r="B97" s="46"/>
      <c r="C97" s="46"/>
      <c r="D97" s="46"/>
    </row>
    <row r="98" spans="1:4" ht="12.75">
      <c r="A98" s="47" t="s">
        <v>87</v>
      </c>
      <c r="B98" s="46"/>
      <c r="C98" s="46"/>
      <c r="D98" s="46"/>
    </row>
    <row r="99" spans="1:4" ht="12.75">
      <c r="A99" s="47" t="s">
        <v>88</v>
      </c>
      <c r="B99" s="46"/>
      <c r="C99" s="46"/>
      <c r="D99" s="46"/>
    </row>
    <row r="100" spans="1:7" ht="12.75">
      <c r="A100" s="158" t="s">
        <v>117</v>
      </c>
      <c r="B100" s="158"/>
      <c r="C100" s="158"/>
      <c r="D100" s="158"/>
      <c r="E100" s="158"/>
      <c r="F100" s="158"/>
      <c r="G100" s="158"/>
    </row>
  </sheetData>
  <sheetProtection/>
  <mergeCells count="44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1" dxfId="27" stopIfTrue="1">
      <formula>G11=0</formula>
    </cfRule>
  </conditionalFormatting>
  <conditionalFormatting sqref="A49:C56">
    <cfRule type="expression" priority="2" dxfId="27" stopIfTrue="1">
      <formula>VALUE(NoDPSchedule)&lt;VALUE(LEFT(A49,1))</formula>
    </cfRule>
  </conditionalFormatting>
  <conditionalFormatting sqref="A57:C83">
    <cfRule type="expression" priority="3" dxfId="27" stopIfTrue="1">
      <formula>VALUE(NoDPSchedule)&lt;VALUE(LEFT(A57,2))</formula>
    </cfRule>
  </conditionalFormatting>
  <conditionalFormatting sqref="G11 G25">
    <cfRule type="expression" priority="4" dxfId="27" stopIfTrue="1">
      <formula>G11=0</formula>
    </cfRule>
  </conditionalFormatting>
  <conditionalFormatting sqref="D4">
    <cfRule type="expression" priority="5" dxfId="28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2"/>
  <sheetViews>
    <sheetView tabSelected="1" zoomScalePageLayoutView="0" workbookViewId="0" topLeftCell="A23">
      <selection activeCell="A34" sqref="A34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62" t="s">
        <v>0</v>
      </c>
      <c r="C1" s="162"/>
      <c r="D1" s="162"/>
      <c r="E1" s="162"/>
      <c r="F1" s="162"/>
      <c r="G1" s="3"/>
    </row>
    <row r="2" spans="1:7" ht="14.25" customHeight="1">
      <c r="A2" s="4"/>
      <c r="B2" s="163" t="s">
        <v>1</v>
      </c>
      <c r="C2" s="163"/>
      <c r="D2" s="163"/>
      <c r="E2" s="163"/>
      <c r="F2" s="163"/>
      <c r="G2" s="5"/>
    </row>
    <row r="3" spans="1:7" ht="30" customHeight="1">
      <c r="A3" s="164" t="s">
        <v>2</v>
      </c>
      <c r="B3" s="165"/>
      <c r="C3" s="165"/>
      <c r="D3" s="165"/>
      <c r="E3" s="165"/>
      <c r="F3" s="165"/>
      <c r="G3" s="166"/>
    </row>
    <row r="4" spans="1:7" ht="15" customHeight="1" thickBot="1">
      <c r="A4" s="6">
        <f>IF(A47&lt;=12,12,A47)</f>
        <v>36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94" t="s">
        <v>7</v>
      </c>
      <c r="G6" s="94"/>
    </row>
    <row r="7" spans="1:7" ht="12.75">
      <c r="A7" s="95">
        <v>1</v>
      </c>
      <c r="B7" s="95">
        <v>431</v>
      </c>
      <c r="C7" s="95">
        <v>4</v>
      </c>
      <c r="D7" s="95">
        <v>23.4</v>
      </c>
      <c r="E7" s="95"/>
      <c r="F7" s="95" t="s">
        <v>141</v>
      </c>
      <c r="G7" s="95"/>
    </row>
    <row r="8" spans="1:7" ht="12.75" customHeight="1">
      <c r="A8" s="86"/>
      <c r="B8" s="86"/>
      <c r="C8" s="86"/>
      <c r="D8" s="86"/>
      <c r="E8" s="86"/>
      <c r="F8" s="86"/>
      <c r="G8" s="86"/>
    </row>
    <row r="9" spans="1:7" ht="12.75" customHeight="1">
      <c r="A9" s="157"/>
      <c r="B9" s="157"/>
      <c r="C9" s="157"/>
      <c r="D9" s="157"/>
      <c r="E9" s="157"/>
      <c r="F9" s="157"/>
      <c r="G9" s="157"/>
    </row>
    <row r="10" spans="1:7" ht="12.75">
      <c r="A10" s="96" t="s">
        <v>10</v>
      </c>
      <c r="B10" s="96"/>
      <c r="C10" s="97"/>
      <c r="D10" s="98"/>
      <c r="E10" s="98"/>
      <c r="F10" s="99" t="s">
        <v>11</v>
      </c>
      <c r="G10" s="100">
        <v>5438000</v>
      </c>
    </row>
    <row r="11" spans="1:7" ht="12.75">
      <c r="A11" s="1" t="s">
        <v>12</v>
      </c>
      <c r="B11" s="1" t="s">
        <v>13</v>
      </c>
      <c r="C11" s="18"/>
      <c r="F11" s="19"/>
      <c r="G11" s="20">
        <f>ROUND(IF(ISERROR(FIND("PARKING",Model,1)),IF(SellingPrice&gt;3199200,(G10-(G10/1.12)),0),(G10-(G10/1.12))),2)</f>
        <v>582642.86</v>
      </c>
    </row>
    <row r="12" spans="1:10" ht="12.75" hidden="1">
      <c r="A12" s="21">
        <v>5</v>
      </c>
      <c r="B12" s="1" t="str">
        <f>CONCATENATE(A12,"% Discount on ",A39,"% SFDP")</f>
        <v>5% Discount on 10% SFDP</v>
      </c>
      <c r="F12" s="19"/>
      <c r="G12" s="22"/>
      <c r="I12" s="22"/>
      <c r="J12" s="22"/>
    </row>
    <row r="13" spans="2:10" ht="12.75" hidden="1">
      <c r="B13" s="1" t="s">
        <v>14</v>
      </c>
      <c r="G13" s="22">
        <v>0</v>
      </c>
      <c r="I13" s="22"/>
      <c r="J13" s="22"/>
    </row>
    <row r="14" spans="2:10" ht="12.75" hidden="1">
      <c r="B14" s="1" t="s">
        <v>15</v>
      </c>
      <c r="G14" s="22">
        <v>0</v>
      </c>
      <c r="I14" s="22"/>
      <c r="J14" s="22"/>
    </row>
    <row r="15" spans="2:9" ht="12.75" hidden="1">
      <c r="B15" s="1" t="s">
        <v>16</v>
      </c>
      <c r="G15" s="22">
        <v>0</v>
      </c>
      <c r="I15" s="22"/>
    </row>
    <row r="16" spans="2:9" ht="12.75">
      <c r="B16" s="1" t="s">
        <v>17</v>
      </c>
      <c r="D16" s="112" t="s">
        <v>142</v>
      </c>
      <c r="G16" s="22">
        <v>80000</v>
      </c>
      <c r="I16" s="22"/>
    </row>
    <row r="17" spans="2:9" ht="12.75" hidden="1">
      <c r="B17" s="1" t="s">
        <v>18</v>
      </c>
      <c r="G17" s="22">
        <v>0</v>
      </c>
      <c r="I17" s="22"/>
    </row>
    <row r="18" spans="2:10" ht="12.75" hidden="1">
      <c r="B18" s="1" t="s">
        <v>19</v>
      </c>
      <c r="G18" s="22">
        <v>0</v>
      </c>
      <c r="H18" s="22"/>
      <c r="I18" s="22"/>
      <c r="J18" s="22"/>
    </row>
    <row r="19" spans="2:10" ht="12.75" hidden="1">
      <c r="B19" s="1" t="s">
        <v>20</v>
      </c>
      <c r="G19" s="22">
        <v>0</v>
      </c>
      <c r="J19" s="22"/>
    </row>
    <row r="20" spans="2:10" ht="12.75">
      <c r="B20" s="1" t="s">
        <v>144</v>
      </c>
      <c r="G20" s="22">
        <f>(SellingPrice-G11)*6%</f>
        <v>291321.4284</v>
      </c>
      <c r="J20" s="22"/>
    </row>
    <row r="21" spans="2:10" ht="12.75" hidden="1">
      <c r="B21" s="1" t="s">
        <v>22</v>
      </c>
      <c r="G21" s="22">
        <v>0</v>
      </c>
      <c r="J21" s="22"/>
    </row>
    <row r="22" spans="2:10" ht="12.75" hidden="1">
      <c r="B22" s="1" t="s">
        <v>23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24</v>
      </c>
      <c r="B24" s="24"/>
      <c r="C24" s="15"/>
      <c r="D24" s="15"/>
      <c r="E24" s="15"/>
      <c r="F24" s="16" t="s">
        <v>11</v>
      </c>
      <c r="G24" s="25">
        <f>(SellingPrice-G11)-SUM(G12:G22)</f>
        <v>4484035.7116</v>
      </c>
    </row>
    <row r="25" spans="1:9" ht="12.75">
      <c r="A25" s="1" t="s">
        <v>25</v>
      </c>
      <c r="B25" s="1" t="s">
        <v>13</v>
      </c>
      <c r="G25" s="22">
        <f>ROUND(IF(ISERROR(FIND("PARKING",Model,1)),IF(G24&gt;3199200,G24*12%,0),G24*12%),2)</f>
        <v>538084.29</v>
      </c>
      <c r="I25" s="22"/>
    </row>
    <row r="26" spans="1:7" ht="12.75" hidden="1">
      <c r="A26" s="21">
        <v>7</v>
      </c>
      <c r="B26" s="1" t="s">
        <v>26</v>
      </c>
      <c r="G26" s="22">
        <f>ROUND(G24*(A26/100),2)</f>
        <v>313882.5</v>
      </c>
    </row>
    <row r="27" spans="1:7" ht="12.75" hidden="1">
      <c r="A27" s="21"/>
      <c r="B27" s="1" t="s">
        <v>27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28</v>
      </c>
      <c r="G28" s="22">
        <v>0</v>
      </c>
    </row>
    <row r="29" spans="1:7" ht="13.5" customHeight="1" thickBot="1">
      <c r="A29" s="21"/>
      <c r="B29" s="1" t="s">
        <v>26</v>
      </c>
      <c r="G29" s="22">
        <f>ROUND(SUM(G26,G28,F27),2)+105000</f>
        <v>418882.5</v>
      </c>
    </row>
    <row r="30" spans="1:7" ht="13.5" customHeight="1" thickTop="1">
      <c r="A30" s="13" t="s">
        <v>29</v>
      </c>
      <c r="B30" s="15"/>
      <c r="C30" s="15"/>
      <c r="D30" s="15"/>
      <c r="E30" s="15"/>
      <c r="F30" s="16" t="s">
        <v>11</v>
      </c>
      <c r="G30" s="25">
        <f>G24+SUM(G25,G29)</f>
        <v>5441002.5016</v>
      </c>
    </row>
    <row r="32" ht="12.75">
      <c r="A32" s="26" t="s">
        <v>30</v>
      </c>
    </row>
    <row r="33" spans="1:7" ht="12.75">
      <c r="A33" s="27">
        <v>15</v>
      </c>
      <c r="B33" s="1" t="str">
        <f>CONCATENATE("Downpayment ("&amp;A33&amp;"% of Selling Price)")</f>
        <v>Downpayment (15% of Selling Price)</v>
      </c>
      <c r="G33" s="22">
        <f>ROUND((G24+G25)*(A33/100),2)</f>
        <v>753318</v>
      </c>
    </row>
    <row r="34" spans="1:7" ht="13.5" customHeight="1" thickBot="1">
      <c r="A34" s="26"/>
      <c r="B34" s="1" t="s">
        <v>31</v>
      </c>
      <c r="G34" s="22">
        <f>ROUND(G29*(A33/100),2)</f>
        <v>62832.38</v>
      </c>
    </row>
    <row r="35" spans="1:7" ht="13.5" customHeight="1" thickTop="1">
      <c r="A35" s="13" t="s">
        <v>32</v>
      </c>
      <c r="B35" s="15"/>
      <c r="C35" s="15"/>
      <c r="D35" s="15"/>
      <c r="E35" s="15"/>
      <c r="F35" s="16" t="s">
        <v>11</v>
      </c>
      <c r="G35" s="25">
        <f>SUM(G33:G34)</f>
        <v>816150.38</v>
      </c>
    </row>
    <row r="36" spans="1:7" ht="13.5" customHeight="1" thickBot="1">
      <c r="A36" s="1" t="s">
        <v>12</v>
      </c>
      <c r="B36" s="1" t="s">
        <v>33</v>
      </c>
      <c r="F36" s="28">
        <f ca="1">NOW()</f>
        <v>44211.750529398145</v>
      </c>
      <c r="G36" s="22">
        <v>20000</v>
      </c>
    </row>
    <row r="37" spans="1:7" ht="13.5" customHeight="1" thickTop="1">
      <c r="A37" s="13" t="s">
        <v>34</v>
      </c>
      <c r="B37" s="15"/>
      <c r="C37" s="15"/>
      <c r="D37" s="15"/>
      <c r="E37" s="29"/>
      <c r="F37" s="16" t="s">
        <v>11</v>
      </c>
      <c r="G37" s="25">
        <f>G35-G36</f>
        <v>796150.38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482212</v>
      </c>
      <c r="H39" s="22"/>
      <c r="I39" s="22"/>
      <c r="J39" s="31"/>
    </row>
    <row r="40" spans="2:10" ht="13.5" customHeight="1" thickBot="1">
      <c r="B40" s="1" t="s">
        <v>26</v>
      </c>
      <c r="E40" s="30"/>
      <c r="F40" s="28"/>
      <c r="G40" s="22">
        <f>ROUND(G29*(A39/100),2)</f>
        <v>41888.25</v>
      </c>
      <c r="J40" s="22"/>
    </row>
    <row r="41" spans="2:7" ht="13.5" customHeight="1" thickTop="1">
      <c r="B41" s="32" t="s">
        <v>35</v>
      </c>
      <c r="E41" s="30"/>
      <c r="F41" s="155">
        <f>ReservationDate+19</f>
        <v>44230.750529398145</v>
      </c>
      <c r="G41" s="33">
        <f>SUM(G39:G40)</f>
        <v>524100.25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5</v>
      </c>
      <c r="B43" s="36" t="str">
        <f>CONCATENATE("Streched Downpayment ("&amp;A43&amp;"% of Selling Price)")</f>
        <v>Streched Downpayment (5% of Selling Price)</v>
      </c>
      <c r="E43" s="30"/>
      <c r="F43" s="28"/>
      <c r="G43" s="22">
        <f>G33-G39-ReservationFee</f>
        <v>251106</v>
      </c>
    </row>
    <row r="44" spans="2:7" ht="13.5" customHeight="1" thickBot="1">
      <c r="B44" s="36" t="s">
        <v>26</v>
      </c>
      <c r="E44" s="30"/>
      <c r="F44" s="28"/>
      <c r="G44" s="22">
        <f>SUM(G34:G34)-G40</f>
        <v>20944.129999999997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36 months</v>
      </c>
      <c r="E45" s="30"/>
      <c r="F45" s="28"/>
      <c r="G45" s="33">
        <f>SUM(G43:G44)</f>
        <v>272050.13</v>
      </c>
    </row>
    <row r="46" spans="2:7" ht="12.75">
      <c r="B46" s="36"/>
      <c r="E46" s="30"/>
      <c r="F46" s="28"/>
      <c r="G46" s="35"/>
    </row>
    <row r="47" spans="1:7" ht="25.5" customHeight="1">
      <c r="A47" s="37">
        <v>36</v>
      </c>
      <c r="B47" s="193" t="s">
        <v>36</v>
      </c>
      <c r="C47" s="193"/>
      <c r="D47" s="38" t="s">
        <v>37</v>
      </c>
      <c r="E47" s="39" t="s">
        <v>38</v>
      </c>
      <c r="F47" s="40" t="s">
        <v>26</v>
      </c>
      <c r="G47" s="41" t="s">
        <v>39</v>
      </c>
    </row>
    <row r="48" spans="1:7" ht="12.75">
      <c r="A48" s="192" t="s">
        <v>40</v>
      </c>
      <c r="B48" s="192"/>
      <c r="C48" s="192"/>
      <c r="D48" s="42">
        <f>IF(AND(DAY(F41)&gt;2,DAY(F41)&lt;19),DATE(YEAR(F41+30),MONTH(F41+30),DAY(17)),DATE(YEAR(F41+30),IF(DAY(F41)&gt;18,MONTH(F41+30)+1,MONTH(F41+30)),DAY(2)))</f>
        <v>44272</v>
      </c>
      <c r="E48" s="20">
        <f>ROUND(G43/A47,2)</f>
        <v>6975.17</v>
      </c>
      <c r="F48" s="43">
        <f>ROUND(G44/A47,2)</f>
        <v>581.78</v>
      </c>
      <c r="G48" s="22">
        <f>SUM(E48:F48)</f>
        <v>7556.95</v>
      </c>
    </row>
    <row r="49" spans="1:7" ht="12.75">
      <c r="A49" s="192" t="s">
        <v>41</v>
      </c>
      <c r="B49" s="192"/>
      <c r="C49" s="192"/>
      <c r="D49" s="42">
        <f>IF($A$47&lt;VALUE(LEFT(A49,1))," ",DATE(YEAR(D48+30),MONTH(D48+30),DAY(D48)))</f>
        <v>44303</v>
      </c>
      <c r="E49" s="20">
        <f>IF($A$47&lt;VALUE(LEFT(A49,1))," ",IF($A$47=VALUE(LEFT(A49,1)),$G$43-($E$48*($A$47-1)),E48))</f>
        <v>6975.17</v>
      </c>
      <c r="F49" s="43">
        <f>IF($A$47&lt;VALUE(LEFT(A49,1))," ",IF($A$47=VALUE(LEFT(A49,1)),$G$44-($F$48*($A$47-1)),F48))</f>
        <v>581.78</v>
      </c>
      <c r="G49" s="22">
        <f>IF($A$47&lt;VALUE(LEFT(A49,1))," ",SUM(E49:F49))</f>
        <v>7556.95</v>
      </c>
    </row>
    <row r="50" spans="1:7" ht="12.75">
      <c r="A50" s="192" t="s">
        <v>42</v>
      </c>
      <c r="B50" s="192"/>
      <c r="C50" s="192"/>
      <c r="D50" s="42">
        <f>IF($A$47&lt;VALUE(LEFT(A50,1))," ",DATE(YEAR(D49+30),MONTH(D49+30),DAY(D49)))</f>
        <v>44333</v>
      </c>
      <c r="E50" s="20">
        <f aca="true" t="shared" si="0" ref="E50:E56">IF($A$47&lt;VALUE(LEFT(A50,1))," ",IF($A$47=VALUE(LEFT(A50,1)),$G$43-($E$48*($A$47-1)),E49))</f>
        <v>6975.17</v>
      </c>
      <c r="F50" s="43">
        <f aca="true" t="shared" si="1" ref="F50:F56">IF($A$47&lt;VALUE(LEFT(A50,1))," ",IF($A$47=VALUE(LEFT(A50,1)),$G$44-($F$48*($A$47-1)),F49))</f>
        <v>581.78</v>
      </c>
      <c r="G50" s="22">
        <f aca="true" t="shared" si="2" ref="G50:G56">IF($A$47&lt;VALUE(LEFT(A50,1))," ",SUM(E50:F50))</f>
        <v>7556.95</v>
      </c>
    </row>
    <row r="51" spans="1:7" ht="12.75">
      <c r="A51" s="192" t="s">
        <v>43</v>
      </c>
      <c r="B51" s="192"/>
      <c r="C51" s="192"/>
      <c r="D51" s="42">
        <f aca="true" t="shared" si="3" ref="D51:D56">IF($A$47&lt;VALUE(LEFT(A51,1))," ",DATE(YEAR(D50+30),MONTH(D50+30),DAY(D50)))</f>
        <v>44364</v>
      </c>
      <c r="E51" s="20">
        <f t="shared" si="0"/>
        <v>6975.17</v>
      </c>
      <c r="F51" s="43">
        <f t="shared" si="1"/>
        <v>581.78</v>
      </c>
      <c r="G51" s="22">
        <f t="shared" si="2"/>
        <v>7556.95</v>
      </c>
    </row>
    <row r="52" spans="1:7" ht="12.75">
      <c r="A52" s="192" t="s">
        <v>44</v>
      </c>
      <c r="B52" s="192"/>
      <c r="C52" s="192"/>
      <c r="D52" s="42">
        <f t="shared" si="3"/>
        <v>44394</v>
      </c>
      <c r="E52" s="20">
        <f t="shared" si="0"/>
        <v>6975.17</v>
      </c>
      <c r="F52" s="43">
        <f t="shared" si="1"/>
        <v>581.78</v>
      </c>
      <c r="G52" s="22">
        <f t="shared" si="2"/>
        <v>7556.95</v>
      </c>
    </row>
    <row r="53" spans="1:7" ht="12.75">
      <c r="A53" s="192" t="s">
        <v>45</v>
      </c>
      <c r="B53" s="192"/>
      <c r="C53" s="192"/>
      <c r="D53" s="42">
        <f t="shared" si="3"/>
        <v>44425</v>
      </c>
      <c r="E53" s="20">
        <f t="shared" si="0"/>
        <v>6975.17</v>
      </c>
      <c r="F53" s="43">
        <f t="shared" si="1"/>
        <v>581.78</v>
      </c>
      <c r="G53" s="22">
        <f t="shared" si="2"/>
        <v>7556.95</v>
      </c>
    </row>
    <row r="54" spans="1:7" ht="12.75">
      <c r="A54" s="192" t="s">
        <v>46</v>
      </c>
      <c r="B54" s="192"/>
      <c r="C54" s="192"/>
      <c r="D54" s="42">
        <f t="shared" si="3"/>
        <v>44456</v>
      </c>
      <c r="E54" s="20">
        <f t="shared" si="0"/>
        <v>6975.17</v>
      </c>
      <c r="F54" s="43">
        <f t="shared" si="1"/>
        <v>581.78</v>
      </c>
      <c r="G54" s="22">
        <f t="shared" si="2"/>
        <v>7556.95</v>
      </c>
    </row>
    <row r="55" spans="1:7" ht="12.75">
      <c r="A55" s="192" t="s">
        <v>47</v>
      </c>
      <c r="B55" s="192"/>
      <c r="C55" s="192"/>
      <c r="D55" s="42">
        <f t="shared" si="3"/>
        <v>44486</v>
      </c>
      <c r="E55" s="20">
        <f t="shared" si="0"/>
        <v>6975.17</v>
      </c>
      <c r="F55" s="43">
        <f t="shared" si="1"/>
        <v>581.78</v>
      </c>
      <c r="G55" s="22">
        <f t="shared" si="2"/>
        <v>7556.95</v>
      </c>
    </row>
    <row r="56" spans="1:7" ht="12.75">
      <c r="A56" s="192" t="s">
        <v>48</v>
      </c>
      <c r="B56" s="192"/>
      <c r="C56" s="192"/>
      <c r="D56" s="42">
        <f t="shared" si="3"/>
        <v>44517</v>
      </c>
      <c r="E56" s="20">
        <f t="shared" si="0"/>
        <v>6975.17</v>
      </c>
      <c r="F56" s="43">
        <f t="shared" si="1"/>
        <v>581.78</v>
      </c>
      <c r="G56" s="22">
        <f t="shared" si="2"/>
        <v>7556.95</v>
      </c>
    </row>
    <row r="57" spans="1:7" ht="12.75">
      <c r="A57" s="192" t="s">
        <v>49</v>
      </c>
      <c r="B57" s="192"/>
      <c r="C57" s="192"/>
      <c r="D57" s="42">
        <f>IF($A$47&lt;VALUE(LEFT(A57,2))," ",DATE(YEAR(D56+30),MONTH(D56+30),DAY(D56)))</f>
        <v>44547</v>
      </c>
      <c r="E57" s="20">
        <f>IF($A$47&lt;VALUE(LEFT(A57,2))," ",IF($A$47=VALUE(LEFT(A57,2)),$G$43-($E$48*($A$47-1)),E56))</f>
        <v>6975.17</v>
      </c>
      <c r="F57" s="43">
        <f>IF($A$47&lt;VALUE(LEFT(A57,2))," ",IF($A$47=VALUE(LEFT(A57,2)),$G$44-($F$48*($A$47-1)),F56))</f>
        <v>581.78</v>
      </c>
      <c r="G57" s="22">
        <f>IF($A$47&lt;VALUE(LEFT(A57,2))," ",SUM(E57:F57))</f>
        <v>7556.95</v>
      </c>
    </row>
    <row r="58" spans="1:7" ht="12.75">
      <c r="A58" s="192" t="s">
        <v>50</v>
      </c>
      <c r="B58" s="192"/>
      <c r="C58" s="192"/>
      <c r="D58" s="42">
        <f aca="true" t="shared" si="4" ref="D58:D82">IF($A$47&lt;VALUE(LEFT(A58,2))," ",DATE(YEAR(D57+30),MONTH(D57+30),DAY(D57)))</f>
        <v>44578</v>
      </c>
      <c r="E58" s="20">
        <f aca="true" t="shared" si="5" ref="E58:E82">IF($A$47&lt;VALUE(LEFT(A58,2))," ",IF($A$47=VALUE(LEFT(A58,2)),$G$43-($E$48*($A$47-1)),E57))</f>
        <v>6975.17</v>
      </c>
      <c r="F58" s="43">
        <f aca="true" t="shared" si="6" ref="F58:F82">IF($A$47&lt;VALUE(LEFT(A58,2))," ",IF($A$47=VALUE(LEFT(A58,2)),$G$44-($F$48*($A$47-1)),F57))</f>
        <v>581.78</v>
      </c>
      <c r="G58" s="22">
        <f aca="true" t="shared" si="7" ref="G58:G82">IF($A$47&lt;VALUE(LEFT(A58,2))," ",SUM(E58:F58))</f>
        <v>7556.95</v>
      </c>
    </row>
    <row r="59" spans="1:7" ht="12.75">
      <c r="A59" s="192" t="s">
        <v>51</v>
      </c>
      <c r="B59" s="192"/>
      <c r="C59" s="192"/>
      <c r="D59" s="42">
        <f t="shared" si="4"/>
        <v>44609</v>
      </c>
      <c r="E59" s="20">
        <f t="shared" si="5"/>
        <v>6975.17</v>
      </c>
      <c r="F59" s="43">
        <f t="shared" si="6"/>
        <v>581.78</v>
      </c>
      <c r="G59" s="22">
        <f t="shared" si="7"/>
        <v>7556.95</v>
      </c>
    </row>
    <row r="60" spans="1:7" ht="12.75">
      <c r="A60" s="192" t="s">
        <v>52</v>
      </c>
      <c r="B60" s="192"/>
      <c r="C60" s="192"/>
      <c r="D60" s="42">
        <f t="shared" si="4"/>
        <v>44637</v>
      </c>
      <c r="E60" s="20">
        <f t="shared" si="5"/>
        <v>6975.17</v>
      </c>
      <c r="F60" s="43">
        <f t="shared" si="6"/>
        <v>581.78</v>
      </c>
      <c r="G60" s="22">
        <f t="shared" si="7"/>
        <v>7556.95</v>
      </c>
    </row>
    <row r="61" spans="1:7" ht="12.75">
      <c r="A61" s="192" t="s">
        <v>53</v>
      </c>
      <c r="B61" s="192"/>
      <c r="C61" s="192"/>
      <c r="D61" s="42">
        <f t="shared" si="4"/>
        <v>44668</v>
      </c>
      <c r="E61" s="20">
        <f t="shared" si="5"/>
        <v>6975.17</v>
      </c>
      <c r="F61" s="43">
        <f t="shared" si="6"/>
        <v>581.78</v>
      </c>
      <c r="G61" s="22">
        <f t="shared" si="7"/>
        <v>7556.95</v>
      </c>
    </row>
    <row r="62" spans="1:7" ht="12.75">
      <c r="A62" s="192" t="s">
        <v>54</v>
      </c>
      <c r="B62" s="192"/>
      <c r="C62" s="192"/>
      <c r="D62" s="42">
        <f t="shared" si="4"/>
        <v>44698</v>
      </c>
      <c r="E62" s="20">
        <f t="shared" si="5"/>
        <v>6975.17</v>
      </c>
      <c r="F62" s="43">
        <f t="shared" si="6"/>
        <v>581.78</v>
      </c>
      <c r="G62" s="22">
        <f t="shared" si="7"/>
        <v>7556.95</v>
      </c>
    </row>
    <row r="63" spans="1:7" ht="12.75">
      <c r="A63" s="192" t="s">
        <v>55</v>
      </c>
      <c r="B63" s="192"/>
      <c r="C63" s="192"/>
      <c r="D63" s="42">
        <f t="shared" si="4"/>
        <v>44729</v>
      </c>
      <c r="E63" s="20">
        <f t="shared" si="5"/>
        <v>6975.17</v>
      </c>
      <c r="F63" s="43">
        <f t="shared" si="6"/>
        <v>581.78</v>
      </c>
      <c r="G63" s="22">
        <f t="shared" si="7"/>
        <v>7556.95</v>
      </c>
    </row>
    <row r="64" spans="1:7" ht="12.75">
      <c r="A64" s="192" t="s">
        <v>56</v>
      </c>
      <c r="B64" s="192"/>
      <c r="C64" s="192"/>
      <c r="D64" s="42">
        <f t="shared" si="4"/>
        <v>44759</v>
      </c>
      <c r="E64" s="20">
        <f t="shared" si="5"/>
        <v>6975.17</v>
      </c>
      <c r="F64" s="43">
        <f t="shared" si="6"/>
        <v>581.78</v>
      </c>
      <c r="G64" s="22">
        <f t="shared" si="7"/>
        <v>7556.95</v>
      </c>
    </row>
    <row r="65" spans="1:7" ht="12.75">
      <c r="A65" s="192" t="s">
        <v>57</v>
      </c>
      <c r="B65" s="192"/>
      <c r="C65" s="192"/>
      <c r="D65" s="42">
        <f t="shared" si="4"/>
        <v>44790</v>
      </c>
      <c r="E65" s="20">
        <f t="shared" si="5"/>
        <v>6975.17</v>
      </c>
      <c r="F65" s="43">
        <f t="shared" si="6"/>
        <v>581.78</v>
      </c>
      <c r="G65" s="22">
        <f t="shared" si="7"/>
        <v>7556.95</v>
      </c>
    </row>
    <row r="66" spans="1:7" ht="12.75">
      <c r="A66" s="192" t="s">
        <v>58</v>
      </c>
      <c r="B66" s="192"/>
      <c r="C66" s="192"/>
      <c r="D66" s="42">
        <f t="shared" si="4"/>
        <v>44821</v>
      </c>
      <c r="E66" s="20">
        <f t="shared" si="5"/>
        <v>6975.17</v>
      </c>
      <c r="F66" s="43">
        <f t="shared" si="6"/>
        <v>581.78</v>
      </c>
      <c r="G66" s="22">
        <f t="shared" si="7"/>
        <v>7556.95</v>
      </c>
    </row>
    <row r="67" spans="1:7" ht="12.75">
      <c r="A67" s="192" t="s">
        <v>59</v>
      </c>
      <c r="B67" s="192"/>
      <c r="C67" s="192"/>
      <c r="D67" s="42">
        <f t="shared" si="4"/>
        <v>44851</v>
      </c>
      <c r="E67" s="20">
        <f t="shared" si="5"/>
        <v>6975.17</v>
      </c>
      <c r="F67" s="43">
        <f t="shared" si="6"/>
        <v>581.78</v>
      </c>
      <c r="G67" s="22">
        <f t="shared" si="7"/>
        <v>7556.95</v>
      </c>
    </row>
    <row r="68" spans="1:7" ht="12.75">
      <c r="A68" s="192" t="s">
        <v>60</v>
      </c>
      <c r="B68" s="192"/>
      <c r="C68" s="192"/>
      <c r="D68" s="42">
        <f t="shared" si="4"/>
        <v>44882</v>
      </c>
      <c r="E68" s="20">
        <f t="shared" si="5"/>
        <v>6975.17</v>
      </c>
      <c r="F68" s="43">
        <f t="shared" si="6"/>
        <v>581.78</v>
      </c>
      <c r="G68" s="22">
        <f t="shared" si="7"/>
        <v>7556.95</v>
      </c>
    </row>
    <row r="69" spans="1:7" ht="12.75">
      <c r="A69" s="192" t="s">
        <v>61</v>
      </c>
      <c r="B69" s="192"/>
      <c r="C69" s="192"/>
      <c r="D69" s="42">
        <f t="shared" si="4"/>
        <v>44912</v>
      </c>
      <c r="E69" s="20">
        <f t="shared" si="5"/>
        <v>6975.17</v>
      </c>
      <c r="F69" s="43">
        <f t="shared" si="6"/>
        <v>581.78</v>
      </c>
      <c r="G69" s="22">
        <f t="shared" si="7"/>
        <v>7556.95</v>
      </c>
    </row>
    <row r="70" spans="1:7" ht="12.75">
      <c r="A70" s="192" t="s">
        <v>62</v>
      </c>
      <c r="B70" s="192"/>
      <c r="C70" s="192"/>
      <c r="D70" s="42">
        <f t="shared" si="4"/>
        <v>44943</v>
      </c>
      <c r="E70" s="20">
        <f t="shared" si="5"/>
        <v>6975.17</v>
      </c>
      <c r="F70" s="43">
        <f t="shared" si="6"/>
        <v>581.78</v>
      </c>
      <c r="G70" s="22">
        <f t="shared" si="7"/>
        <v>7556.95</v>
      </c>
    </row>
    <row r="71" spans="1:7" ht="12.75">
      <c r="A71" s="192" t="s">
        <v>63</v>
      </c>
      <c r="B71" s="192"/>
      <c r="C71" s="192"/>
      <c r="D71" s="42">
        <f t="shared" si="4"/>
        <v>44974</v>
      </c>
      <c r="E71" s="20">
        <f t="shared" si="5"/>
        <v>6975.17</v>
      </c>
      <c r="F71" s="43">
        <f t="shared" si="6"/>
        <v>581.78</v>
      </c>
      <c r="G71" s="22">
        <f t="shared" si="7"/>
        <v>7556.95</v>
      </c>
    </row>
    <row r="72" spans="1:7" ht="12.75">
      <c r="A72" s="192" t="s">
        <v>64</v>
      </c>
      <c r="B72" s="192"/>
      <c r="C72" s="192"/>
      <c r="D72" s="42">
        <f t="shared" si="4"/>
        <v>45002</v>
      </c>
      <c r="E72" s="20">
        <f t="shared" si="5"/>
        <v>6975.17</v>
      </c>
      <c r="F72" s="43">
        <f t="shared" si="6"/>
        <v>581.78</v>
      </c>
      <c r="G72" s="22">
        <f t="shared" si="7"/>
        <v>7556.95</v>
      </c>
    </row>
    <row r="73" spans="1:7" ht="12.75">
      <c r="A73" s="192" t="s">
        <v>65</v>
      </c>
      <c r="B73" s="192"/>
      <c r="C73" s="192"/>
      <c r="D73" s="42">
        <f t="shared" si="4"/>
        <v>45033</v>
      </c>
      <c r="E73" s="20">
        <f t="shared" si="5"/>
        <v>6975.17</v>
      </c>
      <c r="F73" s="43">
        <f t="shared" si="6"/>
        <v>581.78</v>
      </c>
      <c r="G73" s="22">
        <f t="shared" si="7"/>
        <v>7556.95</v>
      </c>
    </row>
    <row r="74" spans="1:7" ht="12.75">
      <c r="A74" s="192" t="s">
        <v>66</v>
      </c>
      <c r="B74" s="192"/>
      <c r="C74" s="192"/>
      <c r="D74" s="42">
        <f t="shared" si="4"/>
        <v>45063</v>
      </c>
      <c r="E74" s="20">
        <f t="shared" si="5"/>
        <v>6975.17</v>
      </c>
      <c r="F74" s="43">
        <f t="shared" si="6"/>
        <v>581.78</v>
      </c>
      <c r="G74" s="22">
        <f t="shared" si="7"/>
        <v>7556.95</v>
      </c>
    </row>
    <row r="75" spans="1:7" ht="12.75">
      <c r="A75" s="192" t="s">
        <v>67</v>
      </c>
      <c r="B75" s="192"/>
      <c r="C75" s="192"/>
      <c r="D75" s="42">
        <f t="shared" si="4"/>
        <v>45094</v>
      </c>
      <c r="E75" s="20">
        <f t="shared" si="5"/>
        <v>6975.17</v>
      </c>
      <c r="F75" s="43">
        <f t="shared" si="6"/>
        <v>581.78</v>
      </c>
      <c r="G75" s="22">
        <f t="shared" si="7"/>
        <v>7556.95</v>
      </c>
    </row>
    <row r="76" spans="1:7" ht="12.75">
      <c r="A76" s="192" t="s">
        <v>68</v>
      </c>
      <c r="B76" s="192"/>
      <c r="C76" s="192"/>
      <c r="D76" s="42">
        <f t="shared" si="4"/>
        <v>45124</v>
      </c>
      <c r="E76" s="20">
        <f t="shared" si="5"/>
        <v>6975.17</v>
      </c>
      <c r="F76" s="43">
        <f t="shared" si="6"/>
        <v>581.78</v>
      </c>
      <c r="G76" s="22">
        <f t="shared" si="7"/>
        <v>7556.95</v>
      </c>
    </row>
    <row r="77" spans="1:7" ht="12.75">
      <c r="A77" s="192" t="s">
        <v>69</v>
      </c>
      <c r="B77" s="192"/>
      <c r="C77" s="192"/>
      <c r="D77" s="42">
        <f t="shared" si="4"/>
        <v>45155</v>
      </c>
      <c r="E77" s="20">
        <f t="shared" si="5"/>
        <v>6975.17</v>
      </c>
      <c r="F77" s="43">
        <f t="shared" si="6"/>
        <v>581.78</v>
      </c>
      <c r="G77" s="22">
        <f t="shared" si="7"/>
        <v>7556.95</v>
      </c>
    </row>
    <row r="78" spans="1:7" ht="12.75">
      <c r="A78" s="192" t="s">
        <v>70</v>
      </c>
      <c r="B78" s="192"/>
      <c r="C78" s="192"/>
      <c r="D78" s="42">
        <f t="shared" si="4"/>
        <v>45186</v>
      </c>
      <c r="E78" s="20">
        <f t="shared" si="5"/>
        <v>6975.17</v>
      </c>
      <c r="F78" s="43">
        <f t="shared" si="6"/>
        <v>581.78</v>
      </c>
      <c r="G78" s="22">
        <f t="shared" si="7"/>
        <v>7556.95</v>
      </c>
    </row>
    <row r="79" spans="1:7" ht="12.75">
      <c r="A79" s="192" t="s">
        <v>71</v>
      </c>
      <c r="B79" s="192"/>
      <c r="C79" s="192"/>
      <c r="D79" s="42">
        <f t="shared" si="4"/>
        <v>45216</v>
      </c>
      <c r="E79" s="20">
        <f t="shared" si="5"/>
        <v>6975.17</v>
      </c>
      <c r="F79" s="43">
        <f t="shared" si="6"/>
        <v>581.78</v>
      </c>
      <c r="G79" s="22">
        <f t="shared" si="7"/>
        <v>7556.95</v>
      </c>
    </row>
    <row r="80" spans="1:7" ht="12.75">
      <c r="A80" s="192" t="s">
        <v>72</v>
      </c>
      <c r="B80" s="192"/>
      <c r="C80" s="192"/>
      <c r="D80" s="42">
        <f t="shared" si="4"/>
        <v>45247</v>
      </c>
      <c r="E80" s="20">
        <f t="shared" si="5"/>
        <v>6975.17</v>
      </c>
      <c r="F80" s="43">
        <f t="shared" si="6"/>
        <v>581.78</v>
      </c>
      <c r="G80" s="22">
        <f t="shared" si="7"/>
        <v>7556.95</v>
      </c>
    </row>
    <row r="81" spans="1:7" ht="12.75">
      <c r="A81" s="192" t="s">
        <v>73</v>
      </c>
      <c r="B81" s="192"/>
      <c r="C81" s="192"/>
      <c r="D81" s="42">
        <f t="shared" si="4"/>
        <v>45277</v>
      </c>
      <c r="E81" s="20">
        <f t="shared" si="5"/>
        <v>6975.17</v>
      </c>
      <c r="F81" s="43">
        <f t="shared" si="6"/>
        <v>581.78</v>
      </c>
      <c r="G81" s="22">
        <f t="shared" si="7"/>
        <v>7556.95</v>
      </c>
    </row>
    <row r="82" spans="1:7" ht="12.75">
      <c r="A82" s="192" t="s">
        <v>74</v>
      </c>
      <c r="B82" s="192"/>
      <c r="C82" s="192"/>
      <c r="D82" s="42">
        <f t="shared" si="4"/>
        <v>45308</v>
      </c>
      <c r="E82" s="20">
        <f t="shared" si="5"/>
        <v>6975.17</v>
      </c>
      <c r="F82" s="43">
        <f t="shared" si="6"/>
        <v>581.78</v>
      </c>
      <c r="G82" s="22">
        <f t="shared" si="7"/>
        <v>7556.95</v>
      </c>
    </row>
    <row r="83" spans="1:7" ht="12.75">
      <c r="A83" s="192" t="s">
        <v>75</v>
      </c>
      <c r="B83" s="192"/>
      <c r="C83" s="192"/>
      <c r="D83" s="42">
        <f>IF($A$47&lt;VALUE(LEFT(A83,2))," ",DATE(YEAR(D82+30),MONTH(D82+30),DAY(D82)))</f>
        <v>45339</v>
      </c>
      <c r="E83" s="20">
        <f>IF($A$47&lt;VALUE(LEFT(A83,2))," ",IF($A$47=VALUE(LEFT(A83,2)),$G$43-($E$48*($A$47-1)),E82))</f>
        <v>6975.049999999988</v>
      </c>
      <c r="F83" s="43">
        <f>IF($A$47&lt;VALUE(LEFT(A83,2))," ",IF($A$47=VALUE(LEFT(A83,2)),$G$44-($F$48*($A$47-1)),F82))</f>
        <v>581.8299999999981</v>
      </c>
      <c r="G83" s="22">
        <f>IF($A$47&lt;VALUE(LEFT(A83,2))," ",SUM(E83:F83))</f>
        <v>7556.8799999999865</v>
      </c>
    </row>
    <row r="84" spans="1:7" ht="12.75" hidden="1">
      <c r="A84" s="192" t="s">
        <v>122</v>
      </c>
      <c r="B84" s="192"/>
      <c r="C84" s="192"/>
      <c r="D84" s="42" t="str">
        <f aca="true" t="shared" si="8" ref="D84:D95">IF($A$47&lt;VALUE(LEFT(A84,2))," ",DATE(YEAR(D83+30),MONTH(D83+30),DAY(D83)))</f>
        <v> </v>
      </c>
      <c r="E84" s="20" t="str">
        <f aca="true" t="shared" si="9" ref="E84:E95">IF($A$47&lt;VALUE(LEFT(A84,2))," ",IF($A$47=VALUE(LEFT(A84,2)),$G$43-($E$48*($A$47-1)),E83))</f>
        <v> </v>
      </c>
      <c r="F84" s="43" t="str">
        <f aca="true" t="shared" si="10" ref="F84:F95">IF($A$47&lt;VALUE(LEFT(A84,2))," ",IF($A$47=VALUE(LEFT(A84,2)),$G$44-($F$48*($A$47-1)),F83))</f>
        <v> </v>
      </c>
      <c r="G84" s="22" t="str">
        <f aca="true" t="shared" si="11" ref="G84:G95">IF($A$47&lt;VALUE(LEFT(A84,2))," ",SUM(E84:F84))</f>
        <v> </v>
      </c>
    </row>
    <row r="85" spans="1:7" ht="12.75" hidden="1">
      <c r="A85" s="192" t="s">
        <v>123</v>
      </c>
      <c r="B85" s="192"/>
      <c r="C85" s="192"/>
      <c r="D85" s="42" t="str">
        <f t="shared" si="8"/>
        <v> </v>
      </c>
      <c r="E85" s="20" t="str">
        <f t="shared" si="9"/>
        <v> </v>
      </c>
      <c r="F85" s="43" t="str">
        <f t="shared" si="10"/>
        <v> </v>
      </c>
      <c r="G85" s="22" t="str">
        <f t="shared" si="11"/>
        <v> </v>
      </c>
    </row>
    <row r="86" spans="1:7" ht="12.75" hidden="1">
      <c r="A86" s="192" t="s">
        <v>124</v>
      </c>
      <c r="B86" s="192"/>
      <c r="C86" s="192"/>
      <c r="D86" s="42" t="str">
        <f t="shared" si="8"/>
        <v> </v>
      </c>
      <c r="E86" s="20" t="str">
        <f t="shared" si="9"/>
        <v> </v>
      </c>
      <c r="F86" s="43" t="str">
        <f t="shared" si="10"/>
        <v> </v>
      </c>
      <c r="G86" s="22" t="str">
        <f t="shared" si="11"/>
        <v> </v>
      </c>
    </row>
    <row r="87" spans="1:7" ht="12.75" hidden="1">
      <c r="A87" s="192" t="s">
        <v>125</v>
      </c>
      <c r="B87" s="192"/>
      <c r="C87" s="192"/>
      <c r="D87" s="42" t="str">
        <f t="shared" si="8"/>
        <v> </v>
      </c>
      <c r="E87" s="20" t="str">
        <f t="shared" si="9"/>
        <v> </v>
      </c>
      <c r="F87" s="43" t="str">
        <f t="shared" si="10"/>
        <v> </v>
      </c>
      <c r="G87" s="22" t="str">
        <f t="shared" si="11"/>
        <v> </v>
      </c>
    </row>
    <row r="88" spans="1:7" ht="12.75" hidden="1">
      <c r="A88" s="192" t="s">
        <v>126</v>
      </c>
      <c r="B88" s="192"/>
      <c r="C88" s="192"/>
      <c r="D88" s="42" t="str">
        <f t="shared" si="8"/>
        <v> </v>
      </c>
      <c r="E88" s="20" t="str">
        <f t="shared" si="9"/>
        <v> </v>
      </c>
      <c r="F88" s="43" t="str">
        <f t="shared" si="10"/>
        <v> </v>
      </c>
      <c r="G88" s="22" t="str">
        <f t="shared" si="11"/>
        <v> </v>
      </c>
    </row>
    <row r="89" spans="1:7" ht="12.75" hidden="1">
      <c r="A89" s="192" t="s">
        <v>127</v>
      </c>
      <c r="B89" s="192"/>
      <c r="C89" s="192"/>
      <c r="D89" s="42" t="str">
        <f t="shared" si="8"/>
        <v> </v>
      </c>
      <c r="E89" s="20" t="str">
        <f t="shared" si="9"/>
        <v> </v>
      </c>
      <c r="F89" s="43" t="str">
        <f t="shared" si="10"/>
        <v> </v>
      </c>
      <c r="G89" s="22" t="str">
        <f t="shared" si="11"/>
        <v> </v>
      </c>
    </row>
    <row r="90" spans="1:7" ht="12.75" hidden="1">
      <c r="A90" s="192" t="s">
        <v>128</v>
      </c>
      <c r="B90" s="192"/>
      <c r="C90" s="192"/>
      <c r="D90" s="42" t="str">
        <f t="shared" si="8"/>
        <v> </v>
      </c>
      <c r="E90" s="20" t="str">
        <f t="shared" si="9"/>
        <v> </v>
      </c>
      <c r="F90" s="43" t="str">
        <f t="shared" si="10"/>
        <v> </v>
      </c>
      <c r="G90" s="22" t="str">
        <f t="shared" si="11"/>
        <v> </v>
      </c>
    </row>
    <row r="91" spans="1:7" ht="12.75" hidden="1">
      <c r="A91" s="192" t="s">
        <v>129</v>
      </c>
      <c r="B91" s="192"/>
      <c r="C91" s="192"/>
      <c r="D91" s="42" t="str">
        <f t="shared" si="8"/>
        <v> </v>
      </c>
      <c r="E91" s="20" t="str">
        <f t="shared" si="9"/>
        <v> </v>
      </c>
      <c r="F91" s="43" t="str">
        <f t="shared" si="10"/>
        <v> </v>
      </c>
      <c r="G91" s="22" t="str">
        <f t="shared" si="11"/>
        <v> </v>
      </c>
    </row>
    <row r="92" spans="1:7" ht="12.75" hidden="1">
      <c r="A92" s="192" t="s">
        <v>130</v>
      </c>
      <c r="B92" s="192"/>
      <c r="C92" s="192"/>
      <c r="D92" s="42" t="str">
        <f t="shared" si="8"/>
        <v> </v>
      </c>
      <c r="E92" s="20" t="str">
        <f t="shared" si="9"/>
        <v> </v>
      </c>
      <c r="F92" s="43" t="str">
        <f t="shared" si="10"/>
        <v> </v>
      </c>
      <c r="G92" s="22" t="str">
        <f t="shared" si="11"/>
        <v> </v>
      </c>
    </row>
    <row r="93" spans="1:7" ht="12.75" hidden="1">
      <c r="A93" s="192" t="s">
        <v>131</v>
      </c>
      <c r="B93" s="192"/>
      <c r="C93" s="192"/>
      <c r="D93" s="42" t="str">
        <f t="shared" si="8"/>
        <v> </v>
      </c>
      <c r="E93" s="20" t="str">
        <f t="shared" si="9"/>
        <v> </v>
      </c>
      <c r="F93" s="43" t="str">
        <f t="shared" si="10"/>
        <v> </v>
      </c>
      <c r="G93" s="22" t="str">
        <f t="shared" si="11"/>
        <v> </v>
      </c>
    </row>
    <row r="94" spans="1:7" ht="12.75" hidden="1">
      <c r="A94" s="192" t="s">
        <v>132</v>
      </c>
      <c r="B94" s="192"/>
      <c r="C94" s="192"/>
      <c r="D94" s="42" t="str">
        <f t="shared" si="8"/>
        <v> </v>
      </c>
      <c r="E94" s="20" t="str">
        <f t="shared" si="9"/>
        <v> </v>
      </c>
      <c r="F94" s="43" t="str">
        <f t="shared" si="10"/>
        <v> </v>
      </c>
      <c r="G94" s="22" t="str">
        <f t="shared" si="11"/>
        <v> </v>
      </c>
    </row>
    <row r="95" spans="1:7" ht="12.75" hidden="1">
      <c r="A95" s="192" t="s">
        <v>133</v>
      </c>
      <c r="B95" s="192"/>
      <c r="C95" s="192"/>
      <c r="D95" s="42" t="str">
        <f t="shared" si="8"/>
        <v> </v>
      </c>
      <c r="E95" s="20" t="str">
        <f t="shared" si="9"/>
        <v> </v>
      </c>
      <c r="F95" s="43" t="str">
        <f t="shared" si="10"/>
        <v> </v>
      </c>
      <c r="G95" s="22" t="str">
        <f t="shared" si="11"/>
        <v> </v>
      </c>
    </row>
    <row r="96" spans="2:7" ht="12.75">
      <c r="B96" s="34"/>
      <c r="E96" s="30"/>
      <c r="F96" s="28"/>
      <c r="G96" s="35"/>
    </row>
    <row r="97" ht="12.75">
      <c r="A97" s="26" t="s">
        <v>76</v>
      </c>
    </row>
    <row r="98" spans="2:6" ht="12.75">
      <c r="B98" s="1" t="s">
        <v>77</v>
      </c>
      <c r="F98" s="44">
        <f>D78</f>
        <v>45186</v>
      </c>
    </row>
    <row r="99" spans="2:9" ht="12.75">
      <c r="B99" s="1" t="s">
        <v>78</v>
      </c>
      <c r="F99" s="44">
        <f>D83+30</f>
        <v>45369</v>
      </c>
      <c r="G99" s="45">
        <f>ROUND(((G24+G25)*((100-A33)/100))+(G29*(100-A33)/100),2)</f>
        <v>4624852.13</v>
      </c>
      <c r="I99" s="22"/>
    </row>
    <row r="100" ht="12.75">
      <c r="B100" s="1" t="s">
        <v>79</v>
      </c>
    </row>
    <row r="102" spans="1:4" ht="12.75">
      <c r="A102" s="32" t="s">
        <v>80</v>
      </c>
      <c r="B102" s="46"/>
      <c r="C102" s="46"/>
      <c r="D102" s="46"/>
    </row>
    <row r="103" spans="1:7" ht="12.75">
      <c r="A103" s="158" t="s">
        <v>118</v>
      </c>
      <c r="B103" s="158"/>
      <c r="C103" s="158"/>
      <c r="D103" s="158"/>
      <c r="E103" s="158"/>
      <c r="F103" s="158"/>
      <c r="G103" s="158"/>
    </row>
    <row r="104" spans="1:4" ht="12.75">
      <c r="A104" s="46" t="s">
        <v>81</v>
      </c>
      <c r="B104" s="46"/>
      <c r="C104" s="46"/>
      <c r="D104" s="46"/>
    </row>
    <row r="105" spans="1:4" ht="12.75">
      <c r="A105" s="46" t="s">
        <v>82</v>
      </c>
      <c r="B105" s="46"/>
      <c r="C105" s="46"/>
      <c r="D105" s="46"/>
    </row>
    <row r="106" spans="1:4" ht="12.75">
      <c r="A106" s="46" t="s">
        <v>83</v>
      </c>
      <c r="B106" s="46"/>
      <c r="C106" s="46"/>
      <c r="D106" s="46"/>
    </row>
    <row r="107" spans="1:4" ht="12.75">
      <c r="A107" s="47" t="s">
        <v>84</v>
      </c>
      <c r="B107" s="46"/>
      <c r="C107" s="46"/>
      <c r="D107" s="46"/>
    </row>
    <row r="108" spans="1:4" ht="12.75">
      <c r="A108" s="47" t="s">
        <v>85</v>
      </c>
      <c r="B108" s="46"/>
      <c r="C108" s="46"/>
      <c r="D108" s="46"/>
    </row>
    <row r="109" spans="1:4" ht="12.75">
      <c r="A109" s="47" t="s">
        <v>86</v>
      </c>
      <c r="B109" s="46"/>
      <c r="C109" s="46"/>
      <c r="D109" s="46"/>
    </row>
    <row r="110" spans="1:4" ht="12.75">
      <c r="A110" s="47" t="s">
        <v>87</v>
      </c>
      <c r="B110" s="46"/>
      <c r="C110" s="46"/>
      <c r="D110" s="46"/>
    </row>
    <row r="111" spans="1:4" ht="12.75">
      <c r="A111" s="47" t="s">
        <v>88</v>
      </c>
      <c r="B111" s="46"/>
      <c r="C111" s="46"/>
      <c r="D111" s="46"/>
    </row>
    <row r="112" spans="1:7" ht="12.75">
      <c r="A112" s="158" t="s">
        <v>117</v>
      </c>
      <c r="B112" s="158"/>
      <c r="C112" s="158"/>
      <c r="D112" s="158"/>
      <c r="E112" s="158"/>
      <c r="F112" s="158"/>
      <c r="G112" s="158"/>
    </row>
  </sheetData>
  <sheetProtection/>
  <mergeCells count="54">
    <mergeCell ref="A92:C92"/>
    <mergeCell ref="A93:C93"/>
    <mergeCell ref="A94:C94"/>
    <mergeCell ref="A95:C95"/>
    <mergeCell ref="A103:G103"/>
    <mergeCell ref="A112:G112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B1:F1"/>
    <mergeCell ref="B2:F2"/>
    <mergeCell ref="A3:G3"/>
    <mergeCell ref="B47:C47"/>
    <mergeCell ref="A48:C48"/>
    <mergeCell ref="A49:C49"/>
  </mergeCells>
  <conditionalFormatting sqref="B11 B25">
    <cfRule type="expression" priority="1" dxfId="27" stopIfTrue="1">
      <formula>G11=0</formula>
    </cfRule>
  </conditionalFormatting>
  <conditionalFormatting sqref="A49:C56">
    <cfRule type="expression" priority="2" dxfId="27" stopIfTrue="1">
      <formula>VALUE(NoDPSchedule)&lt;VALUE(LEFT(A49,1))</formula>
    </cfRule>
  </conditionalFormatting>
  <conditionalFormatting sqref="A57:C95">
    <cfRule type="expression" priority="3" dxfId="27" stopIfTrue="1">
      <formula>VALUE(NoDPSchedule)&lt;VALUE(LEFT(A57,2))</formula>
    </cfRule>
  </conditionalFormatting>
  <conditionalFormatting sqref="G11 G25">
    <cfRule type="expression" priority="4" dxfId="27" stopIfTrue="1">
      <formula>G11=0</formula>
    </cfRule>
  </conditionalFormatting>
  <conditionalFormatting sqref="D4">
    <cfRule type="expression" priority="5" dxfId="28" stopIfTrue="1">
      <formula>G5&lt;=TODAY()</formula>
    </cfRule>
  </conditionalFormatting>
  <printOptions horizontalCentered="1"/>
  <pageMargins left="0.236220472440945" right="0.236220472440945" top="0.511811023622047" bottom="0.511811023622047" header="0.511811023622047" footer="0.511811023622047"/>
  <pageSetup fitToHeight="1" fitToWidth="1" horizontalDpi="300" verticalDpi="3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04"/>
  <sheetViews>
    <sheetView zoomScalePageLayoutView="0" workbookViewId="0" topLeftCell="A1">
      <selection activeCell="G29" sqref="G29"/>
    </sheetView>
  </sheetViews>
  <sheetFormatPr defaultColWidth="12.375" defaultRowHeight="12.75" customHeight="1"/>
  <cols>
    <col min="1" max="3" width="12.375" style="117" customWidth="1"/>
    <col min="4" max="4" width="17.00390625" style="117" customWidth="1"/>
    <col min="5" max="6" width="14.625" style="117" customWidth="1"/>
    <col min="7" max="7" width="22.00390625" style="117" customWidth="1"/>
    <col min="8" max="9" width="15.00390625" style="117" customWidth="1"/>
    <col min="10" max="10" width="14.125" style="117" customWidth="1"/>
    <col min="11" max="16384" width="12.375" style="117" customWidth="1"/>
  </cols>
  <sheetData>
    <row r="1" spans="1:7" ht="14.25" customHeight="1" thickTop="1">
      <c r="A1" s="115"/>
      <c r="B1" s="196" t="s">
        <v>0</v>
      </c>
      <c r="C1" s="196"/>
      <c r="D1" s="196"/>
      <c r="E1" s="196"/>
      <c r="F1" s="196"/>
      <c r="G1" s="116"/>
    </row>
    <row r="2" spans="1:7" ht="14.25" customHeight="1">
      <c r="A2" s="118"/>
      <c r="B2" s="197" t="s">
        <v>1</v>
      </c>
      <c r="C2" s="197"/>
      <c r="D2" s="197"/>
      <c r="E2" s="197"/>
      <c r="F2" s="197"/>
      <c r="G2" s="119"/>
    </row>
    <row r="3" spans="1:7" ht="30" customHeight="1">
      <c r="A3" s="198" t="s">
        <v>2</v>
      </c>
      <c r="B3" s="199"/>
      <c r="C3" s="199"/>
      <c r="D3" s="199"/>
      <c r="E3" s="199"/>
      <c r="F3" s="199"/>
      <c r="G3" s="200"/>
    </row>
    <row r="4" spans="1:7" ht="13.5" customHeight="1" thickBot="1">
      <c r="A4" s="120">
        <f>IF(A39&lt;=12,12,A39)</f>
        <v>36</v>
      </c>
      <c r="B4" s="121"/>
      <c r="C4" s="121"/>
      <c r="D4" s="122" t="str">
        <f>IF(A39&gt;G5,"TERM IS SUBJECT FOR APPROVAL","SAMPLE COMPUTATION ONLY")</f>
        <v>SAMPLE COMPUTATION ONLY</v>
      </c>
      <c r="E4" s="121"/>
      <c r="F4" s="121"/>
      <c r="G4" s="123"/>
    </row>
    <row r="5" ht="13.5" customHeight="1" thickTop="1">
      <c r="G5" s="124">
        <v>36</v>
      </c>
    </row>
    <row r="6" spans="1:7" ht="12.75">
      <c r="A6" s="94" t="s">
        <v>3</v>
      </c>
      <c r="B6" s="94" t="s">
        <v>4</v>
      </c>
      <c r="C6" s="94" t="s">
        <v>5</v>
      </c>
      <c r="D6" s="94" t="s">
        <v>6</v>
      </c>
      <c r="E6" s="94"/>
      <c r="F6" s="94" t="s">
        <v>7</v>
      </c>
      <c r="G6" s="94"/>
    </row>
    <row r="7" spans="1:7" ht="12.75">
      <c r="A7" s="95">
        <v>1</v>
      </c>
      <c r="B7" s="95">
        <v>431</v>
      </c>
      <c r="C7" s="95">
        <v>4</v>
      </c>
      <c r="D7" s="95">
        <v>23.4</v>
      </c>
      <c r="E7" s="95"/>
      <c r="F7" s="95" t="s">
        <v>141</v>
      </c>
      <c r="G7" s="95"/>
    </row>
    <row r="8" spans="1:7" ht="12.75" customHeight="1">
      <c r="A8" s="86"/>
      <c r="B8" s="86"/>
      <c r="C8" s="86"/>
      <c r="D8" s="86"/>
      <c r="E8" s="86"/>
      <c r="F8" s="86"/>
      <c r="G8" s="86"/>
    </row>
    <row r="9" spans="1:7" ht="12.75" customHeight="1">
      <c r="A9" s="157"/>
      <c r="B9" s="157"/>
      <c r="C9" s="157"/>
      <c r="D9" s="157"/>
      <c r="E9" s="157"/>
      <c r="F9" s="157"/>
      <c r="G9" s="157"/>
    </row>
    <row r="10" spans="1:7" ht="12.75">
      <c r="A10" s="96" t="s">
        <v>10</v>
      </c>
      <c r="B10" s="96"/>
      <c r="C10" s="97"/>
      <c r="D10" s="98"/>
      <c r="E10" s="98"/>
      <c r="F10" s="99" t="s">
        <v>11</v>
      </c>
      <c r="G10" s="100">
        <v>5438000</v>
      </c>
    </row>
    <row r="11" spans="1:7" ht="12.75">
      <c r="A11" s="117" t="s">
        <v>12</v>
      </c>
      <c r="B11" s="117" t="s">
        <v>13</v>
      </c>
      <c r="C11" s="130"/>
      <c r="F11" s="131"/>
      <c r="G11" s="132">
        <f>ROUND(IF(ISERROR(FIND("PARKING",Model,1)),IF(SellingPrice&gt;3199200,(G10-(G10/1.12)),0),(G10-(G10/1.12))),2)</f>
        <v>582642.86</v>
      </c>
    </row>
    <row r="12" spans="1:10" ht="12.75" hidden="1">
      <c r="A12" s="133">
        <v>0</v>
      </c>
      <c r="B12" s="117" t="str">
        <f>CONCATENATE(A12,"% Discount on ",A33,"% SFDP")</f>
        <v>0% Discount on 15% SFDP</v>
      </c>
      <c r="F12" s="131"/>
      <c r="G12" s="134">
        <v>0</v>
      </c>
      <c r="I12" s="134"/>
      <c r="J12" s="134"/>
    </row>
    <row r="13" spans="2:10" ht="12.75" hidden="1">
      <c r="B13" s="117" t="s">
        <v>14</v>
      </c>
      <c r="G13" s="134">
        <v>0</v>
      </c>
      <c r="I13" s="134"/>
      <c r="J13" s="134"/>
    </row>
    <row r="14" spans="2:10" ht="12.75" hidden="1">
      <c r="B14" s="117" t="s">
        <v>15</v>
      </c>
      <c r="G14" s="134">
        <v>0</v>
      </c>
      <c r="I14" s="134"/>
      <c r="J14" s="134"/>
    </row>
    <row r="15" spans="2:9" ht="12.75">
      <c r="B15" s="117" t="s">
        <v>16</v>
      </c>
      <c r="D15" s="117" t="s">
        <v>145</v>
      </c>
      <c r="G15" s="134">
        <v>40000</v>
      </c>
      <c r="I15" s="134"/>
    </row>
    <row r="16" spans="2:9" ht="12.75" hidden="1">
      <c r="B16" s="117" t="s">
        <v>17</v>
      </c>
      <c r="G16" s="134">
        <v>0</v>
      </c>
      <c r="I16" s="134"/>
    </row>
    <row r="17" spans="2:9" ht="12.75" hidden="1">
      <c r="B17" s="117" t="s">
        <v>18</v>
      </c>
      <c r="G17" s="134">
        <v>0</v>
      </c>
      <c r="I17" s="134"/>
    </row>
    <row r="18" spans="2:10" ht="12.75" hidden="1">
      <c r="B18" s="117" t="s">
        <v>19</v>
      </c>
      <c r="G18" s="134">
        <v>0</v>
      </c>
      <c r="H18" s="134"/>
      <c r="I18" s="134"/>
      <c r="J18" s="134"/>
    </row>
    <row r="19" spans="2:10" ht="12.75" hidden="1">
      <c r="B19" s="117" t="s">
        <v>20</v>
      </c>
      <c r="G19" s="134">
        <v>0</v>
      </c>
      <c r="J19" s="134"/>
    </row>
    <row r="20" spans="2:10" ht="12.75">
      <c r="B20" s="117" t="s">
        <v>140</v>
      </c>
      <c r="G20" s="134">
        <f>(SellingPrice-G11)*6%</f>
        <v>291321.4284</v>
      </c>
      <c r="J20" s="134"/>
    </row>
    <row r="21" spans="2:10" ht="12.75" hidden="1">
      <c r="B21" s="117" t="s">
        <v>140</v>
      </c>
      <c r="G21" s="134">
        <v>0</v>
      </c>
      <c r="J21" s="134"/>
    </row>
    <row r="22" spans="2:10" ht="12.75" hidden="1">
      <c r="B22" s="117" t="s">
        <v>23</v>
      </c>
      <c r="G22" s="134">
        <v>0</v>
      </c>
      <c r="J22" s="134"/>
    </row>
    <row r="23" spans="6:10" ht="13.5" customHeight="1">
      <c r="F23" s="131"/>
      <c r="G23" s="135"/>
      <c r="J23" s="134"/>
    </row>
    <row r="24" spans="1:7" ht="13.5" customHeight="1">
      <c r="A24" s="125" t="s">
        <v>24</v>
      </c>
      <c r="B24" s="125"/>
      <c r="C24" s="126"/>
      <c r="D24" s="127"/>
      <c r="E24" s="127"/>
      <c r="F24" s="128" t="s">
        <v>11</v>
      </c>
      <c r="G24" s="129">
        <f>(SellingPrice-G11)-SUM(G12:G22)</f>
        <v>4524035.7116</v>
      </c>
    </row>
    <row r="25" spans="1:9" ht="12.75">
      <c r="A25" s="117" t="s">
        <v>25</v>
      </c>
      <c r="B25" s="117" t="s">
        <v>13</v>
      </c>
      <c r="G25" s="134">
        <f>ROUND(IF(ISERROR(FIND("PARKING",Model,1)),IF(G24&gt;3199200,G24*12%,0),G24*12%),2)</f>
        <v>542884.29</v>
      </c>
      <c r="I25" s="134"/>
    </row>
    <row r="26" spans="1:7" ht="12.75" hidden="1">
      <c r="A26" s="133">
        <v>7</v>
      </c>
      <c r="B26" s="117" t="s">
        <v>26</v>
      </c>
      <c r="G26" s="134">
        <f>ROUND(G24*(A26/100),2)</f>
        <v>316682.5</v>
      </c>
    </row>
    <row r="27" spans="1:7" ht="12.75" hidden="1">
      <c r="A27" s="133"/>
      <c r="B27" s="117" t="s">
        <v>27</v>
      </c>
      <c r="F27" s="133">
        <f>IF(G27&gt;50000,50000,G27)</f>
        <v>0</v>
      </c>
      <c r="G27" s="134">
        <v>0</v>
      </c>
    </row>
    <row r="28" spans="1:7" ht="12.75" hidden="1">
      <c r="A28" s="133"/>
      <c r="B28" s="117" t="s">
        <v>28</v>
      </c>
      <c r="G28" s="134">
        <v>0</v>
      </c>
    </row>
    <row r="29" spans="1:7" ht="13.5" customHeight="1">
      <c r="A29" s="133"/>
      <c r="B29" s="117" t="s">
        <v>26</v>
      </c>
      <c r="G29" s="134">
        <f>ROUND(SUM(G26,G28,F27),2)+105000</f>
        <v>421682.5</v>
      </c>
    </row>
    <row r="30" spans="1:7" ht="13.5" customHeight="1">
      <c r="A30" s="125" t="s">
        <v>29</v>
      </c>
      <c r="B30" s="125"/>
      <c r="C30" s="126"/>
      <c r="D30" s="127"/>
      <c r="E30" s="127"/>
      <c r="F30" s="128" t="s">
        <v>11</v>
      </c>
      <c r="G30" s="129">
        <f>G24+SUM(G25,G29)</f>
        <v>5488602.5016</v>
      </c>
    </row>
    <row r="32" ht="12.75">
      <c r="A32" s="136" t="s">
        <v>30</v>
      </c>
    </row>
    <row r="33" spans="1:10" ht="12.75">
      <c r="A33" s="137">
        <v>15</v>
      </c>
      <c r="B33" s="117" t="str">
        <f>CONCATENATE("Downpayment ("&amp;A33&amp;"% of Selling Price)")</f>
        <v>Downpayment (15% of Selling Price)</v>
      </c>
      <c r="G33" s="134">
        <f>ROUND((G24+G25)*(A33/100),2)</f>
        <v>760038</v>
      </c>
      <c r="J33" s="134"/>
    </row>
    <row r="34" spans="1:10" ht="13.5" customHeight="1">
      <c r="A34" s="136"/>
      <c r="B34" s="117" t="s">
        <v>31</v>
      </c>
      <c r="G34" s="134">
        <f>ROUND(G29*(A33/100),2)</f>
        <v>63252.38</v>
      </c>
      <c r="J34" s="138"/>
    </row>
    <row r="35" spans="1:7" ht="13.5" customHeight="1">
      <c r="A35" s="125" t="s">
        <v>32</v>
      </c>
      <c r="B35" s="125"/>
      <c r="C35" s="126"/>
      <c r="D35" s="127"/>
      <c r="E35" s="127"/>
      <c r="F35" s="128" t="s">
        <v>11</v>
      </c>
      <c r="G35" s="129">
        <f>SUM(G33:G34)</f>
        <v>823290.38</v>
      </c>
    </row>
    <row r="36" spans="1:7" ht="13.5" customHeight="1">
      <c r="A36" s="117" t="s">
        <v>12</v>
      </c>
      <c r="B36" s="117" t="s">
        <v>33</v>
      </c>
      <c r="F36" s="139">
        <f ca="1">NOW()</f>
        <v>44211.750529398145</v>
      </c>
      <c r="G36" s="134">
        <v>20000</v>
      </c>
    </row>
    <row r="37" spans="1:7" ht="13.5" customHeight="1">
      <c r="A37" s="125" t="s">
        <v>34</v>
      </c>
      <c r="B37" s="125"/>
      <c r="C37" s="126"/>
      <c r="D37" s="127"/>
      <c r="E37" s="127"/>
      <c r="F37" s="128" t="s">
        <v>11</v>
      </c>
      <c r="G37" s="129">
        <f>G35-G36</f>
        <v>803290.38</v>
      </c>
    </row>
    <row r="38" ht="12.75">
      <c r="A38" s="133">
        <v>0</v>
      </c>
    </row>
    <row r="39" spans="1:7" ht="25.5" customHeight="1">
      <c r="A39" s="140">
        <v>36</v>
      </c>
      <c r="B39" s="201" t="s">
        <v>36</v>
      </c>
      <c r="C39" s="201"/>
      <c r="D39" s="141" t="s">
        <v>37</v>
      </c>
      <c r="E39" s="142" t="s">
        <v>38</v>
      </c>
      <c r="F39" s="143" t="s">
        <v>26</v>
      </c>
      <c r="G39" s="144" t="s">
        <v>39</v>
      </c>
    </row>
    <row r="40" spans="1:7" ht="12.75">
      <c r="A40" s="194" t="s">
        <v>40</v>
      </c>
      <c r="B40" s="194"/>
      <c r="C40" s="194"/>
      <c r="D40" s="145">
        <f>ReservationDate+29</f>
        <v>44240.750529398145</v>
      </c>
      <c r="E40" s="132">
        <f>ROUND((G35-G36-G34)/A39,2)</f>
        <v>20556.61</v>
      </c>
      <c r="F40" s="146">
        <f>ROUND(SUM(G34:G34)/A39,2)</f>
        <v>1757.01</v>
      </c>
      <c r="G40" s="134">
        <f>SUM(E40:F40)</f>
        <v>22313.62</v>
      </c>
    </row>
    <row r="41" spans="1:7" ht="12.75">
      <c r="A41" s="194" t="s">
        <v>41</v>
      </c>
      <c r="B41" s="194"/>
      <c r="C41" s="194"/>
      <c r="D41" s="145">
        <f>IF(AND(DAY(D40)&gt;2,DAY(D40)&lt;19),DATE(YEAR(D40+30),MONTH(D40+30),DAY(17)),DATE(YEAR(D40+30),MONTH(D40+30)+1,DAY(2)))</f>
        <v>44272</v>
      </c>
      <c r="E41" s="132">
        <f>IF($A$39&lt;VALUE(LEFT(A41,1))," ",IF($A$39=VALUE(LEFT(A41,1)),($G$35-$G$36-$G$34)-($E$40*($A$39-1)),E40))</f>
        <v>20556.61</v>
      </c>
      <c r="F41" s="146">
        <f>IF($A$39&lt;VALUE(LEFT(A41,1))," ",IF($A$39=VALUE(LEFT(A41,1)),$G$34-($F$40*($A$39-1)),F40))</f>
        <v>1757.01</v>
      </c>
      <c r="G41" s="134">
        <f>IF($A$39&lt;VALUE(LEFT(A41,1))," ",SUM(E41:F41))</f>
        <v>22313.62</v>
      </c>
    </row>
    <row r="42" spans="1:7" ht="12.75">
      <c r="A42" s="194" t="s">
        <v>42</v>
      </c>
      <c r="B42" s="194"/>
      <c r="C42" s="194"/>
      <c r="D42" s="145">
        <f>IF($A$39&lt;VALUE(LEFT(A42,1))," ",DATE(YEAR(D41+30),MONTH(D41+30),DAY(D41)))</f>
        <v>44303</v>
      </c>
      <c r="E42" s="132">
        <f aca="true" t="shared" si="0" ref="E42:E48">IF($A$39&lt;VALUE(LEFT(A42,1))," ",IF($A$39=VALUE(LEFT(A42,1)),($G$35-$G$36-$G$34)-($E$40*($A$39-1)),E41))</f>
        <v>20556.61</v>
      </c>
      <c r="F42" s="146">
        <f aca="true" t="shared" si="1" ref="F42:F48">IF($A$39&lt;VALUE(LEFT(A42,1))," ",IF($A$39=VALUE(LEFT(A42,1)),$G$34-($F$40*($A$39-1)),F41))</f>
        <v>1757.01</v>
      </c>
      <c r="G42" s="134">
        <f aca="true" t="shared" si="2" ref="G42:G48">IF($A$39&lt;VALUE(LEFT(A42,1))," ",SUM(E42:F42))</f>
        <v>22313.62</v>
      </c>
    </row>
    <row r="43" spans="1:7" ht="12.75">
      <c r="A43" s="194" t="s">
        <v>43</v>
      </c>
      <c r="B43" s="194"/>
      <c r="C43" s="194"/>
      <c r="D43" s="145">
        <f aca="true" t="shared" si="3" ref="D43:D48">IF($A$39&lt;VALUE(LEFT(A43,1))," ",DATE(YEAR(D42+30),MONTH(D42+30),DAY(D42)))</f>
        <v>44333</v>
      </c>
      <c r="E43" s="132">
        <f t="shared" si="0"/>
        <v>20556.61</v>
      </c>
      <c r="F43" s="146">
        <f t="shared" si="1"/>
        <v>1757.01</v>
      </c>
      <c r="G43" s="134">
        <f t="shared" si="2"/>
        <v>22313.62</v>
      </c>
    </row>
    <row r="44" spans="1:7" ht="12.75">
      <c r="A44" s="194" t="s">
        <v>44</v>
      </c>
      <c r="B44" s="194"/>
      <c r="C44" s="194"/>
      <c r="D44" s="145">
        <f t="shared" si="3"/>
        <v>44364</v>
      </c>
      <c r="E44" s="132">
        <f t="shared" si="0"/>
        <v>20556.61</v>
      </c>
      <c r="F44" s="146">
        <f t="shared" si="1"/>
        <v>1757.01</v>
      </c>
      <c r="G44" s="134">
        <f t="shared" si="2"/>
        <v>22313.62</v>
      </c>
    </row>
    <row r="45" spans="1:7" ht="12.75">
      <c r="A45" s="194" t="s">
        <v>45</v>
      </c>
      <c r="B45" s="194"/>
      <c r="C45" s="194"/>
      <c r="D45" s="145">
        <f t="shared" si="3"/>
        <v>44394</v>
      </c>
      <c r="E45" s="132">
        <f t="shared" si="0"/>
        <v>20556.61</v>
      </c>
      <c r="F45" s="146">
        <f t="shared" si="1"/>
        <v>1757.01</v>
      </c>
      <c r="G45" s="134">
        <f t="shared" si="2"/>
        <v>22313.62</v>
      </c>
    </row>
    <row r="46" spans="1:7" ht="12.75">
      <c r="A46" s="194" t="s">
        <v>46</v>
      </c>
      <c r="B46" s="194"/>
      <c r="C46" s="194"/>
      <c r="D46" s="145">
        <f t="shared" si="3"/>
        <v>44425</v>
      </c>
      <c r="E46" s="132">
        <f t="shared" si="0"/>
        <v>20556.61</v>
      </c>
      <c r="F46" s="146">
        <f t="shared" si="1"/>
        <v>1757.01</v>
      </c>
      <c r="G46" s="134">
        <f t="shared" si="2"/>
        <v>22313.62</v>
      </c>
    </row>
    <row r="47" spans="1:7" ht="12.75">
      <c r="A47" s="194" t="s">
        <v>47</v>
      </c>
      <c r="B47" s="194"/>
      <c r="C47" s="194"/>
      <c r="D47" s="145">
        <f t="shared" si="3"/>
        <v>44456</v>
      </c>
      <c r="E47" s="132">
        <f t="shared" si="0"/>
        <v>20556.61</v>
      </c>
      <c r="F47" s="146">
        <f t="shared" si="1"/>
        <v>1757.01</v>
      </c>
      <c r="G47" s="134">
        <f t="shared" si="2"/>
        <v>22313.62</v>
      </c>
    </row>
    <row r="48" spans="1:7" ht="12.75">
      <c r="A48" s="194" t="s">
        <v>48</v>
      </c>
      <c r="B48" s="194"/>
      <c r="C48" s="194"/>
      <c r="D48" s="145">
        <f t="shared" si="3"/>
        <v>44486</v>
      </c>
      <c r="E48" s="132">
        <f t="shared" si="0"/>
        <v>20556.61</v>
      </c>
      <c r="F48" s="146">
        <f t="shared" si="1"/>
        <v>1757.01</v>
      </c>
      <c r="G48" s="134">
        <f t="shared" si="2"/>
        <v>22313.62</v>
      </c>
    </row>
    <row r="49" spans="1:7" ht="12.75">
      <c r="A49" s="194" t="s">
        <v>49</v>
      </c>
      <c r="B49" s="194"/>
      <c r="C49" s="194"/>
      <c r="D49" s="145">
        <f>IF($A$39&lt;VALUE(LEFT(A49,2))," ",DATE(YEAR(D48+30),MONTH(D48+30),DAY(D48)))</f>
        <v>44517</v>
      </c>
      <c r="E49" s="132">
        <f>IF($A$39&lt;VALUE(LEFT(A49,2))," ",IF($A$39=VALUE(LEFT(A49,2)),($G$35-$G$36-$G$34)-($E$40*($A$39-1)),E48))</f>
        <v>20556.61</v>
      </c>
      <c r="F49" s="146">
        <f>IF($A$39&lt;VALUE(LEFT(A49,2))," ",IF($A$39=VALUE(LEFT(A49,2)),$G$34-($F$40*($A$39-1)),F48))</f>
        <v>1757.01</v>
      </c>
      <c r="G49" s="134">
        <f>IF($A$39&lt;VALUE(LEFT(A49,2))," ",SUM(E49:F49))</f>
        <v>22313.62</v>
      </c>
    </row>
    <row r="50" spans="1:7" ht="12.75">
      <c r="A50" s="194" t="s">
        <v>50</v>
      </c>
      <c r="B50" s="194"/>
      <c r="C50" s="194"/>
      <c r="D50" s="145">
        <f aca="true" t="shared" si="4" ref="D50:D57">IF($A$39&lt;VALUE(LEFT(A50,2))," ",DATE(YEAR(D49+30),MONTH(D49+30),DAY(D49)))</f>
        <v>44547</v>
      </c>
      <c r="E50" s="132">
        <f aca="true" t="shared" si="5" ref="E50:E57">IF($A$39&lt;VALUE(LEFT(A50,2))," ",IF($A$39=VALUE(LEFT(A50,2)),($G$35-$G$36-$G$34)-($E$40*($A$39-1)),E49))</f>
        <v>20556.61</v>
      </c>
      <c r="F50" s="146">
        <f aca="true" t="shared" si="6" ref="F50:F57">IF($A$39&lt;VALUE(LEFT(A50,2))," ",IF($A$39=VALUE(LEFT(A50,2)),$G$34-($F$40*($A$39-1)),F49))</f>
        <v>1757.01</v>
      </c>
      <c r="G50" s="134">
        <f aca="true" t="shared" si="7" ref="G50:G57">IF($A$39&lt;VALUE(LEFT(A50,2))," ",SUM(E50:F50))</f>
        <v>22313.62</v>
      </c>
    </row>
    <row r="51" spans="1:7" ht="12.75">
      <c r="A51" s="194" t="s">
        <v>51</v>
      </c>
      <c r="B51" s="194"/>
      <c r="C51" s="194"/>
      <c r="D51" s="145">
        <f t="shared" si="4"/>
        <v>44578</v>
      </c>
      <c r="E51" s="132">
        <f t="shared" si="5"/>
        <v>20556.61</v>
      </c>
      <c r="F51" s="146">
        <f t="shared" si="6"/>
        <v>1757.01</v>
      </c>
      <c r="G51" s="134">
        <f t="shared" si="7"/>
        <v>22313.62</v>
      </c>
    </row>
    <row r="52" spans="1:7" ht="12.75">
      <c r="A52" s="194" t="s">
        <v>52</v>
      </c>
      <c r="B52" s="194"/>
      <c r="C52" s="194"/>
      <c r="D52" s="145">
        <f t="shared" si="4"/>
        <v>44609</v>
      </c>
      <c r="E52" s="132">
        <f t="shared" si="5"/>
        <v>20556.61</v>
      </c>
      <c r="F52" s="146">
        <f t="shared" si="6"/>
        <v>1757.01</v>
      </c>
      <c r="G52" s="134">
        <f t="shared" si="7"/>
        <v>22313.62</v>
      </c>
    </row>
    <row r="53" spans="1:7" ht="12.75">
      <c r="A53" s="194" t="s">
        <v>53</v>
      </c>
      <c r="B53" s="194"/>
      <c r="C53" s="194"/>
      <c r="D53" s="145">
        <f t="shared" si="4"/>
        <v>44637</v>
      </c>
      <c r="E53" s="132">
        <f t="shared" si="5"/>
        <v>20556.61</v>
      </c>
      <c r="F53" s="146">
        <f t="shared" si="6"/>
        <v>1757.01</v>
      </c>
      <c r="G53" s="134">
        <f t="shared" si="7"/>
        <v>22313.62</v>
      </c>
    </row>
    <row r="54" spans="1:7" ht="12.75">
      <c r="A54" s="194" t="s">
        <v>54</v>
      </c>
      <c r="B54" s="194"/>
      <c r="C54" s="194"/>
      <c r="D54" s="145">
        <f t="shared" si="4"/>
        <v>44668</v>
      </c>
      <c r="E54" s="132">
        <f t="shared" si="5"/>
        <v>20556.61</v>
      </c>
      <c r="F54" s="146">
        <f t="shared" si="6"/>
        <v>1757.01</v>
      </c>
      <c r="G54" s="134">
        <f t="shared" si="7"/>
        <v>22313.62</v>
      </c>
    </row>
    <row r="55" spans="1:7" ht="12.75">
      <c r="A55" s="194" t="s">
        <v>55</v>
      </c>
      <c r="B55" s="194"/>
      <c r="C55" s="194"/>
      <c r="D55" s="145">
        <f t="shared" si="4"/>
        <v>44698</v>
      </c>
      <c r="E55" s="132">
        <f t="shared" si="5"/>
        <v>20556.61</v>
      </c>
      <c r="F55" s="146">
        <f t="shared" si="6"/>
        <v>1757.01</v>
      </c>
      <c r="G55" s="134">
        <f t="shared" si="7"/>
        <v>22313.62</v>
      </c>
    </row>
    <row r="56" spans="1:7" ht="12.75">
      <c r="A56" s="194" t="s">
        <v>56</v>
      </c>
      <c r="B56" s="194"/>
      <c r="C56" s="194"/>
      <c r="D56" s="145">
        <f t="shared" si="4"/>
        <v>44729</v>
      </c>
      <c r="E56" s="132">
        <f t="shared" si="5"/>
        <v>20556.61</v>
      </c>
      <c r="F56" s="146">
        <f t="shared" si="6"/>
        <v>1757.01</v>
      </c>
      <c r="G56" s="134">
        <f t="shared" si="7"/>
        <v>22313.62</v>
      </c>
    </row>
    <row r="57" spans="1:7" ht="12.75">
      <c r="A57" s="194" t="s">
        <v>57</v>
      </c>
      <c r="B57" s="194"/>
      <c r="C57" s="194"/>
      <c r="D57" s="145">
        <f t="shared" si="4"/>
        <v>44759</v>
      </c>
      <c r="E57" s="132">
        <f t="shared" si="5"/>
        <v>20556.61</v>
      </c>
      <c r="F57" s="146">
        <f t="shared" si="6"/>
        <v>1757.01</v>
      </c>
      <c r="G57" s="134">
        <f t="shared" si="7"/>
        <v>22313.62</v>
      </c>
    </row>
    <row r="58" spans="1:7" ht="12.75">
      <c r="A58" s="194" t="s">
        <v>58</v>
      </c>
      <c r="B58" s="194"/>
      <c r="C58" s="194"/>
      <c r="D58" s="145">
        <f aca="true" t="shared" si="8" ref="D58:D63">IF($A$39&lt;VALUE(LEFT(A58,2))," ",DATE(YEAR(D57+30),MONTH(D57+30),DAY(D57)))</f>
        <v>44790</v>
      </c>
      <c r="E58" s="132">
        <f aca="true" t="shared" si="9" ref="E58:E63">IF($A$39&lt;VALUE(LEFT(A58,2))," ",IF($A$39=VALUE(LEFT(A58,2)),($G$35-$G$36-$G$34)-($E$40*($A$39-1)),E57))</f>
        <v>20556.61</v>
      </c>
      <c r="F58" s="146">
        <f aca="true" t="shared" si="10" ref="F58:F63">IF($A$39&lt;VALUE(LEFT(A58,2))," ",IF($A$39=VALUE(LEFT(A58,2)),$G$34-($F$40*($A$39-1)),F57))</f>
        <v>1757.01</v>
      </c>
      <c r="G58" s="134">
        <f aca="true" t="shared" si="11" ref="G58:G63">IF($A$39&lt;VALUE(LEFT(A58,2))," ",SUM(E58:F58))</f>
        <v>22313.62</v>
      </c>
    </row>
    <row r="59" spans="1:7" ht="12.75">
      <c r="A59" s="194" t="s">
        <v>59</v>
      </c>
      <c r="B59" s="194"/>
      <c r="C59" s="194"/>
      <c r="D59" s="145">
        <f t="shared" si="8"/>
        <v>44821</v>
      </c>
      <c r="E59" s="132">
        <f t="shared" si="9"/>
        <v>20556.61</v>
      </c>
      <c r="F59" s="146">
        <f t="shared" si="10"/>
        <v>1757.01</v>
      </c>
      <c r="G59" s="134">
        <f t="shared" si="11"/>
        <v>22313.62</v>
      </c>
    </row>
    <row r="60" spans="1:7" ht="12.75">
      <c r="A60" s="194" t="s">
        <v>60</v>
      </c>
      <c r="B60" s="194"/>
      <c r="C60" s="194"/>
      <c r="D60" s="145">
        <f t="shared" si="8"/>
        <v>44851</v>
      </c>
      <c r="E60" s="132">
        <f t="shared" si="9"/>
        <v>20556.61</v>
      </c>
      <c r="F60" s="146">
        <f t="shared" si="10"/>
        <v>1757.01</v>
      </c>
      <c r="G60" s="134">
        <f t="shared" si="11"/>
        <v>22313.62</v>
      </c>
    </row>
    <row r="61" spans="1:7" ht="12.75">
      <c r="A61" s="194" t="s">
        <v>61</v>
      </c>
      <c r="B61" s="194"/>
      <c r="C61" s="194"/>
      <c r="D61" s="145">
        <f t="shared" si="8"/>
        <v>44882</v>
      </c>
      <c r="E61" s="132">
        <f t="shared" si="9"/>
        <v>20556.61</v>
      </c>
      <c r="F61" s="146">
        <f t="shared" si="10"/>
        <v>1757.01</v>
      </c>
      <c r="G61" s="134">
        <f t="shared" si="11"/>
        <v>22313.62</v>
      </c>
    </row>
    <row r="62" spans="1:7" ht="12.75">
      <c r="A62" s="194" t="s">
        <v>62</v>
      </c>
      <c r="B62" s="194"/>
      <c r="C62" s="194"/>
      <c r="D62" s="145">
        <f t="shared" si="8"/>
        <v>44912</v>
      </c>
      <c r="E62" s="132">
        <f t="shared" si="9"/>
        <v>20556.61</v>
      </c>
      <c r="F62" s="146">
        <f t="shared" si="10"/>
        <v>1757.01</v>
      </c>
      <c r="G62" s="134">
        <f t="shared" si="11"/>
        <v>22313.62</v>
      </c>
    </row>
    <row r="63" spans="1:7" ht="12.75">
      <c r="A63" s="194" t="s">
        <v>63</v>
      </c>
      <c r="B63" s="194"/>
      <c r="C63" s="194"/>
      <c r="D63" s="145">
        <f t="shared" si="8"/>
        <v>44943</v>
      </c>
      <c r="E63" s="132">
        <f t="shared" si="9"/>
        <v>20556.61</v>
      </c>
      <c r="F63" s="146">
        <f t="shared" si="10"/>
        <v>1757.01</v>
      </c>
      <c r="G63" s="134">
        <f t="shared" si="11"/>
        <v>22313.62</v>
      </c>
    </row>
    <row r="64" spans="1:7" ht="12.75">
      <c r="A64" s="194" t="s">
        <v>64</v>
      </c>
      <c r="B64" s="194"/>
      <c r="C64" s="194"/>
      <c r="D64" s="145">
        <f aca="true" t="shared" si="12" ref="D64:D75">IF($A$39&lt;VALUE(LEFT(A64,2))," ",DATE(YEAR(D63+30),MONTH(D63+30),DAY(D63)))</f>
        <v>44974</v>
      </c>
      <c r="E64" s="132">
        <f aca="true" t="shared" si="13" ref="E64:E75">IF($A$39&lt;VALUE(LEFT(A64,2))," ",IF($A$39=VALUE(LEFT(A64,2)),($G$35-$G$36-$G$34)-($E$40*($A$39-1)),E63))</f>
        <v>20556.61</v>
      </c>
      <c r="F64" s="146">
        <f aca="true" t="shared" si="14" ref="F64:F75">IF($A$39&lt;VALUE(LEFT(A64,2))," ",IF($A$39=VALUE(LEFT(A64,2)),$G$34-($F$40*($A$39-1)),F63))</f>
        <v>1757.01</v>
      </c>
      <c r="G64" s="134">
        <f aca="true" t="shared" si="15" ref="G64:G75">IF($A$39&lt;VALUE(LEFT(A64,2))," ",SUM(E64:F64))</f>
        <v>22313.62</v>
      </c>
    </row>
    <row r="65" spans="1:7" ht="12.75">
      <c r="A65" s="194" t="s">
        <v>65</v>
      </c>
      <c r="B65" s="194"/>
      <c r="C65" s="194"/>
      <c r="D65" s="145">
        <f t="shared" si="12"/>
        <v>45002</v>
      </c>
      <c r="E65" s="132">
        <f t="shared" si="13"/>
        <v>20556.61</v>
      </c>
      <c r="F65" s="146">
        <f t="shared" si="14"/>
        <v>1757.01</v>
      </c>
      <c r="G65" s="134">
        <f t="shared" si="15"/>
        <v>22313.62</v>
      </c>
    </row>
    <row r="66" spans="1:7" ht="12.75">
      <c r="A66" s="194" t="s">
        <v>66</v>
      </c>
      <c r="B66" s="194"/>
      <c r="C66" s="194"/>
      <c r="D66" s="145">
        <f t="shared" si="12"/>
        <v>45033</v>
      </c>
      <c r="E66" s="132">
        <f t="shared" si="13"/>
        <v>20556.61</v>
      </c>
      <c r="F66" s="146">
        <f t="shared" si="14"/>
        <v>1757.01</v>
      </c>
      <c r="G66" s="134">
        <f t="shared" si="15"/>
        <v>22313.62</v>
      </c>
    </row>
    <row r="67" spans="1:7" ht="12.75">
      <c r="A67" s="194" t="s">
        <v>67</v>
      </c>
      <c r="B67" s="194"/>
      <c r="C67" s="194"/>
      <c r="D67" s="145">
        <f t="shared" si="12"/>
        <v>45063</v>
      </c>
      <c r="E67" s="132">
        <f t="shared" si="13"/>
        <v>20556.61</v>
      </c>
      <c r="F67" s="146">
        <f t="shared" si="14"/>
        <v>1757.01</v>
      </c>
      <c r="G67" s="134">
        <f t="shared" si="15"/>
        <v>22313.62</v>
      </c>
    </row>
    <row r="68" spans="1:7" ht="12.75">
      <c r="A68" s="194" t="s">
        <v>68</v>
      </c>
      <c r="B68" s="194"/>
      <c r="C68" s="194"/>
      <c r="D68" s="145">
        <f t="shared" si="12"/>
        <v>45094</v>
      </c>
      <c r="E68" s="132">
        <f t="shared" si="13"/>
        <v>20556.61</v>
      </c>
      <c r="F68" s="146">
        <f t="shared" si="14"/>
        <v>1757.01</v>
      </c>
      <c r="G68" s="134">
        <f t="shared" si="15"/>
        <v>22313.62</v>
      </c>
    </row>
    <row r="69" spans="1:7" ht="12.75">
      <c r="A69" s="194" t="s">
        <v>69</v>
      </c>
      <c r="B69" s="194"/>
      <c r="C69" s="194"/>
      <c r="D69" s="145">
        <f t="shared" si="12"/>
        <v>45124</v>
      </c>
      <c r="E69" s="132">
        <f t="shared" si="13"/>
        <v>20556.61</v>
      </c>
      <c r="F69" s="146">
        <f t="shared" si="14"/>
        <v>1757.01</v>
      </c>
      <c r="G69" s="134">
        <f t="shared" si="15"/>
        <v>22313.62</v>
      </c>
    </row>
    <row r="70" spans="1:7" ht="12.75">
      <c r="A70" s="194" t="s">
        <v>70</v>
      </c>
      <c r="B70" s="194"/>
      <c r="C70" s="194"/>
      <c r="D70" s="145">
        <f t="shared" si="12"/>
        <v>45155</v>
      </c>
      <c r="E70" s="132">
        <f t="shared" si="13"/>
        <v>20556.61</v>
      </c>
      <c r="F70" s="146">
        <f t="shared" si="14"/>
        <v>1757.01</v>
      </c>
      <c r="G70" s="134">
        <f t="shared" si="15"/>
        <v>22313.62</v>
      </c>
    </row>
    <row r="71" spans="1:7" ht="12.75">
      <c r="A71" s="194" t="s">
        <v>71</v>
      </c>
      <c r="B71" s="194"/>
      <c r="C71" s="194"/>
      <c r="D71" s="145">
        <f t="shared" si="12"/>
        <v>45186</v>
      </c>
      <c r="E71" s="132">
        <f t="shared" si="13"/>
        <v>20556.61</v>
      </c>
      <c r="F71" s="146">
        <f t="shared" si="14"/>
        <v>1757.01</v>
      </c>
      <c r="G71" s="134">
        <f t="shared" si="15"/>
        <v>22313.62</v>
      </c>
    </row>
    <row r="72" spans="1:7" ht="12.75">
      <c r="A72" s="194" t="s">
        <v>72</v>
      </c>
      <c r="B72" s="194"/>
      <c r="C72" s="194"/>
      <c r="D72" s="145">
        <f t="shared" si="12"/>
        <v>45216</v>
      </c>
      <c r="E72" s="132">
        <f t="shared" si="13"/>
        <v>20556.61</v>
      </c>
      <c r="F72" s="146">
        <f t="shared" si="14"/>
        <v>1757.01</v>
      </c>
      <c r="G72" s="134">
        <f t="shared" si="15"/>
        <v>22313.62</v>
      </c>
    </row>
    <row r="73" spans="1:7" ht="12.75">
      <c r="A73" s="194" t="s">
        <v>73</v>
      </c>
      <c r="B73" s="194"/>
      <c r="C73" s="194"/>
      <c r="D73" s="145">
        <f t="shared" si="12"/>
        <v>45247</v>
      </c>
      <c r="E73" s="132">
        <f t="shared" si="13"/>
        <v>20556.61</v>
      </c>
      <c r="F73" s="146">
        <f t="shared" si="14"/>
        <v>1757.01</v>
      </c>
      <c r="G73" s="134">
        <f t="shared" si="15"/>
        <v>22313.62</v>
      </c>
    </row>
    <row r="74" spans="1:7" ht="12.75">
      <c r="A74" s="194" t="s">
        <v>74</v>
      </c>
      <c r="B74" s="194"/>
      <c r="C74" s="194"/>
      <c r="D74" s="145">
        <f t="shared" si="12"/>
        <v>45277</v>
      </c>
      <c r="E74" s="132">
        <f t="shared" si="13"/>
        <v>20556.61</v>
      </c>
      <c r="F74" s="146">
        <f t="shared" si="14"/>
        <v>1757.01</v>
      </c>
      <c r="G74" s="134">
        <f t="shared" si="15"/>
        <v>22313.62</v>
      </c>
    </row>
    <row r="75" spans="1:7" ht="12.75">
      <c r="A75" s="194" t="s">
        <v>75</v>
      </c>
      <c r="B75" s="194"/>
      <c r="C75" s="194"/>
      <c r="D75" s="145">
        <f t="shared" si="12"/>
        <v>45308</v>
      </c>
      <c r="E75" s="132">
        <f t="shared" si="13"/>
        <v>20556.650000000023</v>
      </c>
      <c r="F75" s="146">
        <f t="shared" si="14"/>
        <v>1757.0299999999988</v>
      </c>
      <c r="G75" s="134">
        <f t="shared" si="15"/>
        <v>22313.680000000022</v>
      </c>
    </row>
    <row r="76" spans="1:7" ht="12.75" hidden="1">
      <c r="A76" s="194" t="s">
        <v>122</v>
      </c>
      <c r="B76" s="194"/>
      <c r="C76" s="194"/>
      <c r="D76" s="145" t="str">
        <f aca="true" t="shared" si="16" ref="D76:D87">IF($A$39&lt;VALUE(LEFT(A76,2))," ",DATE(YEAR(D75+30),MONTH(D75+30),DAY(D75)))</f>
        <v> </v>
      </c>
      <c r="E76" s="132" t="str">
        <f aca="true" t="shared" si="17" ref="E76:E87">IF($A$39&lt;VALUE(LEFT(A76,2))," ",IF($A$39=VALUE(LEFT(A76,2)),($G$35-$G$36-$G$34)-($E$40*($A$39-1)),E75))</f>
        <v> </v>
      </c>
      <c r="F76" s="146" t="str">
        <f aca="true" t="shared" si="18" ref="F76:F87">IF($A$39&lt;VALUE(LEFT(A76,2))," ",IF($A$39=VALUE(LEFT(A76,2)),$G$34-($F$40*($A$39-1)),F75))</f>
        <v> </v>
      </c>
      <c r="G76" s="134" t="str">
        <f aca="true" t="shared" si="19" ref="G76:G87">IF($A$39&lt;VALUE(LEFT(A76,2))," ",SUM(E76:F76))</f>
        <v> </v>
      </c>
    </row>
    <row r="77" spans="1:7" ht="12.75" hidden="1">
      <c r="A77" s="194" t="s">
        <v>123</v>
      </c>
      <c r="B77" s="194"/>
      <c r="C77" s="194"/>
      <c r="D77" s="145" t="str">
        <f t="shared" si="16"/>
        <v> </v>
      </c>
      <c r="E77" s="132" t="str">
        <f t="shared" si="17"/>
        <v> </v>
      </c>
      <c r="F77" s="146" t="str">
        <f t="shared" si="18"/>
        <v> </v>
      </c>
      <c r="G77" s="134" t="str">
        <f t="shared" si="19"/>
        <v> </v>
      </c>
    </row>
    <row r="78" spans="1:7" ht="12.75" hidden="1">
      <c r="A78" s="194" t="s">
        <v>124</v>
      </c>
      <c r="B78" s="194"/>
      <c r="C78" s="194"/>
      <c r="D78" s="145" t="str">
        <f t="shared" si="16"/>
        <v> </v>
      </c>
      <c r="E78" s="132" t="str">
        <f t="shared" si="17"/>
        <v> </v>
      </c>
      <c r="F78" s="146" t="str">
        <f t="shared" si="18"/>
        <v> </v>
      </c>
      <c r="G78" s="134" t="str">
        <f t="shared" si="19"/>
        <v> </v>
      </c>
    </row>
    <row r="79" spans="1:7" ht="12.75" hidden="1">
      <c r="A79" s="194" t="s">
        <v>125</v>
      </c>
      <c r="B79" s="194"/>
      <c r="C79" s="194"/>
      <c r="D79" s="145" t="str">
        <f t="shared" si="16"/>
        <v> </v>
      </c>
      <c r="E79" s="132" t="str">
        <f t="shared" si="17"/>
        <v> </v>
      </c>
      <c r="F79" s="146" t="str">
        <f t="shared" si="18"/>
        <v> </v>
      </c>
      <c r="G79" s="134" t="str">
        <f t="shared" si="19"/>
        <v> </v>
      </c>
    </row>
    <row r="80" spans="1:7" ht="12.75" hidden="1">
      <c r="A80" s="194" t="s">
        <v>126</v>
      </c>
      <c r="B80" s="194"/>
      <c r="C80" s="194"/>
      <c r="D80" s="145" t="str">
        <f t="shared" si="16"/>
        <v> </v>
      </c>
      <c r="E80" s="132" t="str">
        <f t="shared" si="17"/>
        <v> </v>
      </c>
      <c r="F80" s="146" t="str">
        <f t="shared" si="18"/>
        <v> </v>
      </c>
      <c r="G80" s="134" t="str">
        <f t="shared" si="19"/>
        <v> </v>
      </c>
    </row>
    <row r="81" spans="1:7" ht="12.75" hidden="1">
      <c r="A81" s="194" t="s">
        <v>127</v>
      </c>
      <c r="B81" s="194"/>
      <c r="C81" s="194"/>
      <c r="D81" s="145" t="str">
        <f t="shared" si="16"/>
        <v> </v>
      </c>
      <c r="E81" s="132" t="str">
        <f t="shared" si="17"/>
        <v> </v>
      </c>
      <c r="F81" s="146" t="str">
        <f t="shared" si="18"/>
        <v> </v>
      </c>
      <c r="G81" s="134" t="str">
        <f t="shared" si="19"/>
        <v> </v>
      </c>
    </row>
    <row r="82" spans="1:7" ht="12.75" hidden="1">
      <c r="A82" s="194" t="s">
        <v>128</v>
      </c>
      <c r="B82" s="194"/>
      <c r="C82" s="194"/>
      <c r="D82" s="145" t="str">
        <f t="shared" si="16"/>
        <v> </v>
      </c>
      <c r="E82" s="132" t="str">
        <f t="shared" si="17"/>
        <v> </v>
      </c>
      <c r="F82" s="146" t="str">
        <f t="shared" si="18"/>
        <v> </v>
      </c>
      <c r="G82" s="134" t="str">
        <f t="shared" si="19"/>
        <v> </v>
      </c>
    </row>
    <row r="83" spans="1:7" ht="12.75" hidden="1">
      <c r="A83" s="194" t="s">
        <v>129</v>
      </c>
      <c r="B83" s="194"/>
      <c r="C83" s="194"/>
      <c r="D83" s="145" t="str">
        <f t="shared" si="16"/>
        <v> </v>
      </c>
      <c r="E83" s="132" t="str">
        <f t="shared" si="17"/>
        <v> </v>
      </c>
      <c r="F83" s="146" t="str">
        <f t="shared" si="18"/>
        <v> </v>
      </c>
      <c r="G83" s="134" t="str">
        <f t="shared" si="19"/>
        <v> </v>
      </c>
    </row>
    <row r="84" spans="1:7" ht="12.75" hidden="1">
      <c r="A84" s="194" t="s">
        <v>130</v>
      </c>
      <c r="B84" s="194"/>
      <c r="C84" s="194"/>
      <c r="D84" s="145" t="str">
        <f t="shared" si="16"/>
        <v> </v>
      </c>
      <c r="E84" s="132" t="str">
        <f t="shared" si="17"/>
        <v> </v>
      </c>
      <c r="F84" s="146" t="str">
        <f t="shared" si="18"/>
        <v> </v>
      </c>
      <c r="G84" s="134" t="str">
        <f t="shared" si="19"/>
        <v> </v>
      </c>
    </row>
    <row r="85" spans="1:7" ht="12.75" hidden="1">
      <c r="A85" s="194" t="s">
        <v>131</v>
      </c>
      <c r="B85" s="194"/>
      <c r="C85" s="194"/>
      <c r="D85" s="145" t="str">
        <f t="shared" si="16"/>
        <v> </v>
      </c>
      <c r="E85" s="132" t="str">
        <f t="shared" si="17"/>
        <v> </v>
      </c>
      <c r="F85" s="146" t="str">
        <f t="shared" si="18"/>
        <v> </v>
      </c>
      <c r="G85" s="134" t="str">
        <f t="shared" si="19"/>
        <v> </v>
      </c>
    </row>
    <row r="86" spans="1:7" ht="12.75" hidden="1">
      <c r="A86" s="194" t="s">
        <v>132</v>
      </c>
      <c r="B86" s="194"/>
      <c r="C86" s="194"/>
      <c r="D86" s="145" t="str">
        <f t="shared" si="16"/>
        <v> </v>
      </c>
      <c r="E86" s="132" t="str">
        <f t="shared" si="17"/>
        <v> </v>
      </c>
      <c r="F86" s="146" t="str">
        <f t="shared" si="18"/>
        <v> </v>
      </c>
      <c r="G86" s="134" t="str">
        <f t="shared" si="19"/>
        <v> </v>
      </c>
    </row>
    <row r="87" spans="1:7" ht="12.75" hidden="1">
      <c r="A87" s="194" t="s">
        <v>133</v>
      </c>
      <c r="B87" s="194"/>
      <c r="C87" s="194"/>
      <c r="D87" s="145" t="str">
        <f t="shared" si="16"/>
        <v> </v>
      </c>
      <c r="E87" s="132" t="str">
        <f t="shared" si="17"/>
        <v> </v>
      </c>
      <c r="F87" s="146" t="str">
        <f t="shared" si="18"/>
        <v> </v>
      </c>
      <c r="G87" s="134" t="str">
        <f t="shared" si="19"/>
        <v> </v>
      </c>
    </row>
    <row r="88" spans="2:7" ht="12.75">
      <c r="B88" s="147"/>
      <c r="E88" s="148"/>
      <c r="F88" s="139"/>
      <c r="G88" s="149"/>
    </row>
    <row r="89" ht="12.75">
      <c r="A89" s="136" t="s">
        <v>76</v>
      </c>
    </row>
    <row r="90" spans="2:6" ht="12.75">
      <c r="B90" s="117" t="s">
        <v>77</v>
      </c>
      <c r="F90" s="150">
        <f>D70</f>
        <v>45155</v>
      </c>
    </row>
    <row r="91" spans="2:9" ht="12.75">
      <c r="B91" s="117" t="s">
        <v>78</v>
      </c>
      <c r="F91" s="150">
        <f>D75+31</f>
        <v>45339</v>
      </c>
      <c r="G91" s="151">
        <f>ROUND(((G24+G25)*((100-A33)/100))+(G29*(100-A33)/100),2)</f>
        <v>4665312.13</v>
      </c>
      <c r="I91" s="134"/>
    </row>
    <row r="92" ht="12.75">
      <c r="B92" s="117" t="s">
        <v>79</v>
      </c>
    </row>
    <row r="94" spans="1:4" ht="12.75">
      <c r="A94" s="152" t="s">
        <v>80</v>
      </c>
      <c r="B94" s="153"/>
      <c r="C94" s="153"/>
      <c r="D94" s="153"/>
    </row>
    <row r="95" spans="1:7" ht="12.75">
      <c r="A95" s="195" t="s">
        <v>139</v>
      </c>
      <c r="B95" s="195"/>
      <c r="C95" s="195"/>
      <c r="D95" s="195"/>
      <c r="E95" s="195"/>
      <c r="F95" s="195"/>
      <c r="G95" s="195"/>
    </row>
    <row r="96" spans="1:4" ht="12.75">
      <c r="A96" s="153" t="s">
        <v>81</v>
      </c>
      <c r="B96" s="153"/>
      <c r="C96" s="153"/>
      <c r="D96" s="153"/>
    </row>
    <row r="97" spans="1:4" ht="12.75">
      <c r="A97" s="153" t="s">
        <v>82</v>
      </c>
      <c r="B97" s="153"/>
      <c r="C97" s="153"/>
      <c r="D97" s="153"/>
    </row>
    <row r="98" spans="1:4" ht="12.75">
      <c r="A98" s="153" t="s">
        <v>83</v>
      </c>
      <c r="B98" s="153"/>
      <c r="C98" s="153"/>
      <c r="D98" s="153"/>
    </row>
    <row r="99" spans="1:4" ht="12.75">
      <c r="A99" s="154" t="s">
        <v>84</v>
      </c>
      <c r="B99" s="153"/>
      <c r="C99" s="153"/>
      <c r="D99" s="153"/>
    </row>
    <row r="100" spans="1:4" ht="12.75">
      <c r="A100" s="154" t="s">
        <v>85</v>
      </c>
      <c r="B100" s="153"/>
      <c r="C100" s="153"/>
      <c r="D100" s="153"/>
    </row>
    <row r="101" spans="1:4" ht="12.75">
      <c r="A101" s="154" t="s">
        <v>86</v>
      </c>
      <c r="B101" s="153"/>
      <c r="C101" s="153"/>
      <c r="D101" s="153"/>
    </row>
    <row r="102" spans="1:4" ht="12.75">
      <c r="A102" s="154" t="s">
        <v>87</v>
      </c>
      <c r="B102" s="153"/>
      <c r="C102" s="153"/>
      <c r="D102" s="153"/>
    </row>
    <row r="103" spans="1:4" ht="12.75">
      <c r="A103" s="154" t="s">
        <v>88</v>
      </c>
      <c r="B103" s="153"/>
      <c r="C103" s="153"/>
      <c r="D103" s="153"/>
    </row>
    <row r="104" spans="1:7" ht="12.75">
      <c r="A104" s="195" t="s">
        <v>117</v>
      </c>
      <c r="B104" s="195"/>
      <c r="C104" s="195"/>
      <c r="D104" s="195"/>
      <c r="E104" s="195"/>
      <c r="F104" s="195"/>
      <c r="G104" s="195"/>
    </row>
  </sheetData>
  <sheetProtection/>
  <mergeCells count="54"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B1:F1"/>
    <mergeCell ref="B2:F2"/>
    <mergeCell ref="A3:G3"/>
    <mergeCell ref="A51:C51"/>
    <mergeCell ref="B39:C39"/>
    <mergeCell ref="A40:C40"/>
    <mergeCell ref="A41:C41"/>
    <mergeCell ref="A42:C42"/>
    <mergeCell ref="A43:C43"/>
    <mergeCell ref="A44:C44"/>
    <mergeCell ref="A60:C60"/>
    <mergeCell ref="A58:C58"/>
    <mergeCell ref="A59:C59"/>
    <mergeCell ref="A45:C45"/>
    <mergeCell ref="A46:C46"/>
    <mergeCell ref="A47:C47"/>
    <mergeCell ref="A48:C48"/>
    <mergeCell ref="A49:C49"/>
    <mergeCell ref="A50:C50"/>
    <mergeCell ref="A57:C57"/>
    <mergeCell ref="A61:C61"/>
    <mergeCell ref="A62:C62"/>
    <mergeCell ref="A63:C63"/>
    <mergeCell ref="A95:G95"/>
    <mergeCell ref="A104:G104"/>
    <mergeCell ref="A52:C52"/>
    <mergeCell ref="A53:C53"/>
    <mergeCell ref="A54:C54"/>
    <mergeCell ref="A55:C55"/>
    <mergeCell ref="A56:C56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</mergeCells>
  <conditionalFormatting sqref="B11 B25">
    <cfRule type="expression" priority="3" dxfId="27" stopIfTrue="1">
      <formula>G11=0</formula>
    </cfRule>
  </conditionalFormatting>
  <conditionalFormatting sqref="G11 G25">
    <cfRule type="expression" priority="2" dxfId="27" stopIfTrue="1">
      <formula>G11=0</formula>
    </cfRule>
  </conditionalFormatting>
  <conditionalFormatting sqref="D4">
    <cfRule type="expression" priority="1" dxfId="29" stopIfTrue="1">
      <formula>G5&lt;=TODAY()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100"/>
  <sheetViews>
    <sheetView zoomScalePageLayoutView="0" workbookViewId="0" topLeftCell="A1">
      <selection activeCell="C11" sqref="C1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1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 thickTop="1">
      <c r="A1" s="2"/>
      <c r="B1" s="162" t="s">
        <v>0</v>
      </c>
      <c r="C1" s="162"/>
      <c r="D1" s="162"/>
      <c r="E1" s="162"/>
      <c r="F1" s="162"/>
      <c r="G1" s="3"/>
    </row>
    <row r="2" spans="1:7" ht="14.25" customHeight="1">
      <c r="A2" s="4"/>
      <c r="B2" s="163" t="s">
        <v>1</v>
      </c>
      <c r="C2" s="163"/>
      <c r="D2" s="163"/>
      <c r="E2" s="163"/>
      <c r="F2" s="163"/>
      <c r="G2" s="5"/>
    </row>
    <row r="3" spans="1:7" ht="30" customHeight="1">
      <c r="A3" s="164" t="s">
        <v>2</v>
      </c>
      <c r="B3" s="165"/>
      <c r="C3" s="165"/>
      <c r="D3" s="165"/>
      <c r="E3" s="165"/>
      <c r="F3" s="165"/>
      <c r="G3" s="166"/>
    </row>
    <row r="4" spans="1:7" ht="15" customHeight="1" thickBot="1">
      <c r="A4" s="6">
        <f>IF(A47&lt;=12,12,A47)</f>
        <v>24</v>
      </c>
      <c r="B4" s="7"/>
      <c r="C4" s="7"/>
      <c r="D4" s="8" t="str">
        <f>IF(A47&gt;G5,"TERM IS SUBJECT FOR APPROVAL","SAMPLE COMPUTATION ONLY")</f>
        <v>SAMPLE COMPUTATION ONLY</v>
      </c>
      <c r="E4" s="7"/>
      <c r="F4" s="7"/>
      <c r="G4" s="9"/>
    </row>
    <row r="5" ht="13.5" customHeight="1" thickTop="1">
      <c r="G5" s="10">
        <v>36</v>
      </c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167" t="s">
        <v>7</v>
      </c>
      <c r="G6" s="167"/>
    </row>
    <row r="7" spans="1:7" ht="12.75">
      <c r="A7" s="12" t="s">
        <v>8</v>
      </c>
      <c r="B7" s="12">
        <v>601</v>
      </c>
      <c r="C7" s="12">
        <v>6</v>
      </c>
      <c r="D7" s="12">
        <v>61.2</v>
      </c>
      <c r="E7" s="12"/>
      <c r="F7" s="168" t="s">
        <v>120</v>
      </c>
      <c r="G7" s="168"/>
    </row>
    <row r="10" spans="1:7" ht="12.75">
      <c r="A10" s="13" t="s">
        <v>10</v>
      </c>
      <c r="B10" s="13"/>
      <c r="C10" s="14"/>
      <c r="D10" s="15"/>
      <c r="E10" s="15"/>
      <c r="F10" s="16" t="s">
        <v>11</v>
      </c>
      <c r="G10" s="17">
        <v>11375000</v>
      </c>
    </row>
    <row r="11" spans="1:7" ht="12.75">
      <c r="A11" s="1" t="s">
        <v>12</v>
      </c>
      <c r="B11" s="1" t="s">
        <v>13</v>
      </c>
      <c r="C11" s="18"/>
      <c r="F11" s="19"/>
      <c r="G11" s="20">
        <f>ROUND(IF(ISERROR(FIND("PARKING",Model,1)),IF(SellingPrice&gt;3199200,(G10-(G10/1.12)),0),(G10-(G10/1.12))),2)</f>
        <v>1218750</v>
      </c>
    </row>
    <row r="12" spans="1:10" ht="12.75">
      <c r="A12" s="21">
        <v>10</v>
      </c>
      <c r="B12" s="1" t="str">
        <f>CONCATENATE(A12,"% Discount on ",A39,"% SFDP")</f>
        <v>10% Discount on 10% SFDP</v>
      </c>
      <c r="F12" s="19"/>
      <c r="G12" s="22">
        <f>((G10-G11)-Discount2Value)*(PercentageDiscount/100)*(SpotDownpayment/100)</f>
        <v>101562.50000000001</v>
      </c>
      <c r="I12" s="22"/>
      <c r="J12" s="22"/>
    </row>
    <row r="13" spans="2:10" ht="12.75" hidden="1">
      <c r="B13" s="1" t="s">
        <v>14</v>
      </c>
      <c r="G13" s="22">
        <v>0</v>
      </c>
      <c r="I13" s="22"/>
      <c r="J13" s="22"/>
    </row>
    <row r="14" spans="2:10" ht="12.75" hidden="1">
      <c r="B14" s="1" t="s">
        <v>15</v>
      </c>
      <c r="G14" s="22">
        <v>0</v>
      </c>
      <c r="I14" s="22"/>
      <c r="J14" s="22"/>
    </row>
    <row r="15" spans="2:9" ht="12.75" hidden="1">
      <c r="B15" s="1" t="s">
        <v>16</v>
      </c>
      <c r="G15" s="22">
        <v>0</v>
      </c>
      <c r="I15" s="22"/>
    </row>
    <row r="16" spans="2:9" ht="12.75" hidden="1">
      <c r="B16" s="1" t="s">
        <v>17</v>
      </c>
      <c r="G16" s="22">
        <v>0</v>
      </c>
      <c r="I16" s="22"/>
    </row>
    <row r="17" spans="2:9" ht="12.75" hidden="1">
      <c r="B17" s="1" t="s">
        <v>18</v>
      </c>
      <c r="G17" s="22">
        <v>0</v>
      </c>
      <c r="I17" s="22"/>
    </row>
    <row r="18" spans="2:10" ht="12.75" hidden="1">
      <c r="B18" s="1" t="s">
        <v>19</v>
      </c>
      <c r="G18" s="22">
        <v>0</v>
      </c>
      <c r="H18" s="22"/>
      <c r="I18" s="22"/>
      <c r="J18" s="22"/>
    </row>
    <row r="19" spans="2:10" ht="12.75" hidden="1">
      <c r="B19" s="1" t="s">
        <v>20</v>
      </c>
      <c r="G19" s="22">
        <v>0</v>
      </c>
      <c r="J19" s="22"/>
    </row>
    <row r="20" spans="2:10" ht="12.75" hidden="1">
      <c r="B20" s="1" t="s">
        <v>21</v>
      </c>
      <c r="G20" s="22">
        <v>0</v>
      </c>
      <c r="J20" s="22"/>
    </row>
    <row r="21" spans="2:10" ht="12.75" hidden="1">
      <c r="B21" s="1" t="s">
        <v>22</v>
      </c>
      <c r="G21" s="22">
        <v>0</v>
      </c>
      <c r="J21" s="22"/>
    </row>
    <row r="22" spans="2:10" ht="12.75" hidden="1">
      <c r="B22" s="1" t="s">
        <v>23</v>
      </c>
      <c r="G22" s="22">
        <v>0</v>
      </c>
      <c r="J22" s="22"/>
    </row>
    <row r="23" spans="6:10" ht="13.5" customHeight="1" thickBot="1">
      <c r="F23" s="19"/>
      <c r="G23" s="23"/>
      <c r="J23" s="22"/>
    </row>
    <row r="24" spans="1:7" ht="13.5" customHeight="1" thickTop="1">
      <c r="A24" s="13" t="s">
        <v>24</v>
      </c>
      <c r="B24" s="24"/>
      <c r="C24" s="15"/>
      <c r="D24" s="15"/>
      <c r="E24" s="15"/>
      <c r="F24" s="16" t="s">
        <v>11</v>
      </c>
      <c r="G24" s="25">
        <f>(SellingPrice-G11)-SUM(G12:G22)</f>
        <v>10054687.5</v>
      </c>
    </row>
    <row r="25" spans="1:9" ht="12.75">
      <c r="A25" s="1" t="s">
        <v>25</v>
      </c>
      <c r="B25" s="1" t="s">
        <v>13</v>
      </c>
      <c r="G25" s="22">
        <f>ROUND(IF(ISERROR(FIND("PARKING",Model,1)),IF(G24&gt;3199200,G24*12%,0),G24*12%),2)</f>
        <v>1206562.5</v>
      </c>
      <c r="I25" s="22"/>
    </row>
    <row r="26" spans="1:7" ht="12.75" hidden="1">
      <c r="A26" s="21">
        <v>7</v>
      </c>
      <c r="B26" s="1" t="s">
        <v>26</v>
      </c>
      <c r="G26" s="22">
        <f>ROUND(G24*(A26/100),2)</f>
        <v>703828.13</v>
      </c>
    </row>
    <row r="27" spans="1:7" ht="12.75" hidden="1">
      <c r="A27" s="21"/>
      <c r="B27" s="1" t="s">
        <v>27</v>
      </c>
      <c r="F27" s="21">
        <f>IF(G27&gt;50000,50000,G27)</f>
        <v>0</v>
      </c>
      <c r="G27" s="22">
        <v>0</v>
      </c>
    </row>
    <row r="28" spans="1:7" ht="12.75" hidden="1">
      <c r="A28" s="21"/>
      <c r="B28" s="1" t="s">
        <v>28</v>
      </c>
      <c r="G28" s="22">
        <v>0</v>
      </c>
    </row>
    <row r="29" spans="1:7" ht="13.5" customHeight="1" thickBot="1">
      <c r="A29" s="21"/>
      <c r="B29" s="1" t="s">
        <v>26</v>
      </c>
      <c r="G29" s="22">
        <f>ROUND(SUM(G26,G28,F27),2)</f>
        <v>703828.13</v>
      </c>
    </row>
    <row r="30" spans="1:7" ht="13.5" customHeight="1" thickTop="1">
      <c r="A30" s="13" t="s">
        <v>29</v>
      </c>
      <c r="B30" s="15"/>
      <c r="C30" s="15"/>
      <c r="D30" s="15"/>
      <c r="E30" s="15"/>
      <c r="F30" s="16" t="s">
        <v>11</v>
      </c>
      <c r="G30" s="25">
        <f>G24+SUM(G25,G29)</f>
        <v>11965078.129999999</v>
      </c>
    </row>
    <row r="32" ht="12.75">
      <c r="A32" s="26" t="s">
        <v>30</v>
      </c>
    </row>
    <row r="33" spans="1:7" ht="12.7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2252250</v>
      </c>
    </row>
    <row r="34" spans="1:7" ht="13.5" customHeight="1" thickBot="1">
      <c r="A34" s="26"/>
      <c r="B34" s="1" t="s">
        <v>31</v>
      </c>
      <c r="G34" s="22">
        <f>ROUND(G29*(A33/100),2)</f>
        <v>140765.63</v>
      </c>
    </row>
    <row r="35" spans="1:7" ht="13.5" customHeight="1" thickTop="1">
      <c r="A35" s="13" t="s">
        <v>32</v>
      </c>
      <c r="B35" s="15"/>
      <c r="C35" s="15"/>
      <c r="D35" s="15"/>
      <c r="E35" s="15"/>
      <c r="F35" s="16" t="s">
        <v>11</v>
      </c>
      <c r="G35" s="25">
        <f>SUM(G33:G34)</f>
        <v>2393015.63</v>
      </c>
    </row>
    <row r="36" spans="1:7" ht="13.5" customHeight="1" thickBot="1">
      <c r="A36" s="1" t="s">
        <v>12</v>
      </c>
      <c r="B36" s="1" t="s">
        <v>33</v>
      </c>
      <c r="F36" s="28">
        <f ca="1">NOW()</f>
        <v>44211.750529398145</v>
      </c>
      <c r="G36" s="22">
        <v>20000</v>
      </c>
    </row>
    <row r="37" spans="1:7" ht="13.5" customHeight="1" thickTop="1">
      <c r="A37" s="13" t="s">
        <v>34</v>
      </c>
      <c r="B37" s="15"/>
      <c r="C37" s="15"/>
      <c r="D37" s="15"/>
      <c r="E37" s="29"/>
      <c r="F37" s="16" t="s">
        <v>11</v>
      </c>
      <c r="G37" s="25">
        <f>G35-G36</f>
        <v>2373015.63</v>
      </c>
    </row>
    <row r="39" spans="1:10" ht="12.75">
      <c r="A39" s="21">
        <v>10</v>
      </c>
      <c r="B39" s="1" t="str">
        <f>CONCATENATE("Spot Downpayment ("&amp;A39&amp;"% of Selling Price)")</f>
        <v>Spot Downpayment (10% of Selling Price)</v>
      </c>
      <c r="E39" s="30"/>
      <c r="F39" s="28"/>
      <c r="G39" s="22">
        <f>ROUND((SUM(G24:G25)*(A39/100))-G36,2)</f>
        <v>1106125</v>
      </c>
      <c r="H39" s="22"/>
      <c r="I39" s="22"/>
      <c r="J39" s="31"/>
    </row>
    <row r="40" spans="2:10" ht="13.5" customHeight="1" thickBot="1">
      <c r="B40" s="1" t="s">
        <v>26</v>
      </c>
      <c r="E40" s="30"/>
      <c r="F40" s="28"/>
      <c r="G40" s="22">
        <f>ROUND(G29*(A39/100),2)</f>
        <v>70382.81</v>
      </c>
      <c r="J40" s="22"/>
    </row>
    <row r="41" spans="2:7" ht="13.5" customHeight="1" thickTop="1">
      <c r="B41" s="32" t="s">
        <v>35</v>
      </c>
      <c r="E41" s="30"/>
      <c r="F41" s="28">
        <f>ReservationDate+19</f>
        <v>44230.750529398145</v>
      </c>
      <c r="G41" s="33">
        <f>SUM(G39:G40)</f>
        <v>1176507.81</v>
      </c>
    </row>
    <row r="42" spans="2:7" ht="12.75">
      <c r="B42" s="34"/>
      <c r="E42" s="30"/>
      <c r="F42" s="28"/>
      <c r="G42" s="35"/>
    </row>
    <row r="43" spans="1:7" ht="12.75">
      <c r="A43" s="21">
        <f>A33-A39</f>
        <v>10</v>
      </c>
      <c r="B43" s="36" t="str">
        <f>CONCATENATE("Streched Downpayment ("&amp;A43&amp;"% of Selling Price)")</f>
        <v>Streched Downpayment (10% of Selling Price)</v>
      </c>
      <c r="E43" s="30"/>
      <c r="F43" s="28"/>
      <c r="G43" s="22">
        <f>G33-G39-ReservationFee</f>
        <v>1126125</v>
      </c>
    </row>
    <row r="44" spans="2:7" ht="13.5" customHeight="1" thickBot="1">
      <c r="B44" s="36" t="s">
        <v>26</v>
      </c>
      <c r="E44" s="30"/>
      <c r="F44" s="28"/>
      <c r="G44" s="22">
        <f>SUM(G34:G34)-G40</f>
        <v>70382.82</v>
      </c>
    </row>
    <row r="45" spans="2:7" ht="13.5" customHeight="1" thickTop="1">
      <c r="B45" s="32" t="str">
        <f>CONCATENATE("Total Streched DP and Other Charges payable in "&amp;A47&amp;" months")</f>
        <v>Total Streched DP and Other Charges payable in 24 months</v>
      </c>
      <c r="E45" s="30"/>
      <c r="F45" s="28"/>
      <c r="G45" s="33">
        <f>SUM(G43:G44)</f>
        <v>1196507.82</v>
      </c>
    </row>
    <row r="46" spans="2:7" ht="12.75">
      <c r="B46" s="36"/>
      <c r="E46" s="30"/>
      <c r="F46" s="28"/>
      <c r="G46" s="35"/>
    </row>
    <row r="47" spans="1:7" ht="25.5" customHeight="1">
      <c r="A47" s="37">
        <v>24</v>
      </c>
      <c r="B47" s="193" t="s">
        <v>36</v>
      </c>
      <c r="C47" s="193"/>
      <c r="D47" s="38" t="s">
        <v>37</v>
      </c>
      <c r="E47" s="39" t="s">
        <v>38</v>
      </c>
      <c r="F47" s="40" t="s">
        <v>26</v>
      </c>
      <c r="G47" s="41" t="s">
        <v>39</v>
      </c>
    </row>
    <row r="48" spans="1:7" ht="12.75">
      <c r="A48" s="192" t="s">
        <v>40</v>
      </c>
      <c r="B48" s="192"/>
      <c r="C48" s="192"/>
      <c r="D48" s="42">
        <f>IF(AND(DAY(F41)&gt;2,DAY(F41)&lt;19),DATE(YEAR(F41+30),MONTH(F41+30),DAY(17)),DATE(YEAR(F41+30),IF(DAY(F41)&gt;18,MONTH(F41+30)+1,MONTH(F41+30)),DAY(2)))</f>
        <v>44272</v>
      </c>
      <c r="E48" s="20">
        <f>ROUND(G43/A47,2)</f>
        <v>46921.88</v>
      </c>
      <c r="F48" s="43">
        <f>ROUND(G44/A47,2)</f>
        <v>2932.62</v>
      </c>
      <c r="G48" s="22">
        <f>SUM(E48:F48)</f>
        <v>49854.5</v>
      </c>
    </row>
    <row r="49" spans="1:7" ht="12.75">
      <c r="A49" s="192" t="s">
        <v>41</v>
      </c>
      <c r="B49" s="192"/>
      <c r="C49" s="192"/>
      <c r="D49" s="42">
        <f>IF($A$47&lt;VALUE(LEFT(A49,1))," ",DATE(YEAR(D48+30),MONTH(D48+30),DAY(D48)))</f>
        <v>44303</v>
      </c>
      <c r="E49" s="20">
        <f>IF($A$47&lt;VALUE(LEFT(A49,1))," ",IF($A$47=VALUE(LEFT(A49,1)),$G$43-($E$48*($A$47-1)),E48))</f>
        <v>46921.88</v>
      </c>
      <c r="F49" s="43">
        <f>IF($A$47&lt;VALUE(LEFT(A49,1))," ",IF($A$47=VALUE(LEFT(A49,1)),$G$44-($F$48*($A$47-1)),F48))</f>
        <v>2932.62</v>
      </c>
      <c r="G49" s="22">
        <f>IF($A$47&lt;VALUE(LEFT(A49,1))," ",SUM(E49:F49))</f>
        <v>49854.5</v>
      </c>
    </row>
    <row r="50" spans="1:7" ht="12.75">
      <c r="A50" s="192" t="s">
        <v>42</v>
      </c>
      <c r="B50" s="192"/>
      <c r="C50" s="192"/>
      <c r="D50" s="42">
        <f>IF($A$47&lt;VALUE(LEFT(A50,1))," ",DATE(YEAR(D49+30),MONTH(D49+30),DAY(D49)))</f>
        <v>44333</v>
      </c>
      <c r="E50" s="20">
        <f aca="true" t="shared" si="0" ref="E50:E56">IF($A$47&lt;VALUE(LEFT(A50,1))," ",IF($A$47=VALUE(LEFT(A50,1)),$G$43-($E$48*($A$47-1)),E49))</f>
        <v>46921.88</v>
      </c>
      <c r="F50" s="43">
        <f aca="true" t="shared" si="1" ref="F50:F56">IF($A$47&lt;VALUE(LEFT(A50,1))," ",IF($A$47=VALUE(LEFT(A50,1)),$G$44-($F$48*($A$47-1)),F49))</f>
        <v>2932.62</v>
      </c>
      <c r="G50" s="22">
        <f aca="true" t="shared" si="2" ref="G50:G56">IF($A$47&lt;VALUE(LEFT(A50,1))," ",SUM(E50:F50))</f>
        <v>49854.5</v>
      </c>
    </row>
    <row r="51" spans="1:7" ht="12.75">
      <c r="A51" s="192" t="s">
        <v>43</v>
      </c>
      <c r="B51" s="192"/>
      <c r="C51" s="192"/>
      <c r="D51" s="42">
        <f aca="true" t="shared" si="3" ref="D51:D56">IF($A$47&lt;VALUE(LEFT(A51,1))," ",DATE(YEAR(D50+30),MONTH(D50+30),DAY(D50)))</f>
        <v>44364</v>
      </c>
      <c r="E51" s="20">
        <f t="shared" si="0"/>
        <v>46921.88</v>
      </c>
      <c r="F51" s="43">
        <f t="shared" si="1"/>
        <v>2932.62</v>
      </c>
      <c r="G51" s="22">
        <f t="shared" si="2"/>
        <v>49854.5</v>
      </c>
    </row>
    <row r="52" spans="1:7" ht="12.75">
      <c r="A52" s="192" t="s">
        <v>44</v>
      </c>
      <c r="B52" s="192"/>
      <c r="C52" s="192"/>
      <c r="D52" s="42">
        <f t="shared" si="3"/>
        <v>44394</v>
      </c>
      <c r="E52" s="20">
        <f t="shared" si="0"/>
        <v>46921.88</v>
      </c>
      <c r="F52" s="43">
        <f t="shared" si="1"/>
        <v>2932.62</v>
      </c>
      <c r="G52" s="22">
        <f t="shared" si="2"/>
        <v>49854.5</v>
      </c>
    </row>
    <row r="53" spans="1:7" ht="12.75">
      <c r="A53" s="192" t="s">
        <v>45</v>
      </c>
      <c r="B53" s="192"/>
      <c r="C53" s="192"/>
      <c r="D53" s="42">
        <f t="shared" si="3"/>
        <v>44425</v>
      </c>
      <c r="E53" s="20">
        <f t="shared" si="0"/>
        <v>46921.88</v>
      </c>
      <c r="F53" s="43">
        <f t="shared" si="1"/>
        <v>2932.62</v>
      </c>
      <c r="G53" s="22">
        <f t="shared" si="2"/>
        <v>49854.5</v>
      </c>
    </row>
    <row r="54" spans="1:7" ht="12.75">
      <c r="A54" s="192" t="s">
        <v>46</v>
      </c>
      <c r="B54" s="192"/>
      <c r="C54" s="192"/>
      <c r="D54" s="42">
        <f t="shared" si="3"/>
        <v>44456</v>
      </c>
      <c r="E54" s="20">
        <f t="shared" si="0"/>
        <v>46921.88</v>
      </c>
      <c r="F54" s="43">
        <f t="shared" si="1"/>
        <v>2932.62</v>
      </c>
      <c r="G54" s="22">
        <f t="shared" si="2"/>
        <v>49854.5</v>
      </c>
    </row>
    <row r="55" spans="1:7" ht="12.75">
      <c r="A55" s="192" t="s">
        <v>47</v>
      </c>
      <c r="B55" s="192"/>
      <c r="C55" s="192"/>
      <c r="D55" s="42">
        <f t="shared" si="3"/>
        <v>44486</v>
      </c>
      <c r="E55" s="20">
        <f t="shared" si="0"/>
        <v>46921.88</v>
      </c>
      <c r="F55" s="43">
        <f t="shared" si="1"/>
        <v>2932.62</v>
      </c>
      <c r="G55" s="22">
        <f t="shared" si="2"/>
        <v>49854.5</v>
      </c>
    </row>
    <row r="56" spans="1:7" ht="12.75">
      <c r="A56" s="192" t="s">
        <v>48</v>
      </c>
      <c r="B56" s="192"/>
      <c r="C56" s="192"/>
      <c r="D56" s="42">
        <f t="shared" si="3"/>
        <v>44517</v>
      </c>
      <c r="E56" s="20">
        <f t="shared" si="0"/>
        <v>46921.88</v>
      </c>
      <c r="F56" s="43">
        <f t="shared" si="1"/>
        <v>2932.62</v>
      </c>
      <c r="G56" s="22">
        <f t="shared" si="2"/>
        <v>49854.5</v>
      </c>
    </row>
    <row r="57" spans="1:7" ht="12.75">
      <c r="A57" s="192" t="s">
        <v>49</v>
      </c>
      <c r="B57" s="192"/>
      <c r="C57" s="192"/>
      <c r="D57" s="42">
        <f>IF($A$47&lt;VALUE(LEFT(A57,2))," ",DATE(YEAR(D56+30),MONTH(D56+30),DAY(D56)))</f>
        <v>44547</v>
      </c>
      <c r="E57" s="20">
        <f>IF($A$47&lt;VALUE(LEFT(A57,2))," ",IF($A$47=VALUE(LEFT(A57,2)),$G$43-($E$48*($A$47-1)),E56))</f>
        <v>46921.88</v>
      </c>
      <c r="F57" s="43">
        <f>IF($A$47&lt;VALUE(LEFT(A57,2))," ",IF($A$47=VALUE(LEFT(A57,2)),$G$44-($F$48*($A$47-1)),F56))</f>
        <v>2932.62</v>
      </c>
      <c r="G57" s="22">
        <f>IF($A$47&lt;VALUE(LEFT(A57,2))," ",SUM(E57:F57))</f>
        <v>49854.5</v>
      </c>
    </row>
    <row r="58" spans="1:7" ht="12.75">
      <c r="A58" s="192" t="s">
        <v>50</v>
      </c>
      <c r="B58" s="192"/>
      <c r="C58" s="192"/>
      <c r="D58" s="42">
        <f aca="true" t="shared" si="4" ref="D58:D82">IF($A$47&lt;VALUE(LEFT(A58,2))," ",DATE(YEAR(D57+30),MONTH(D57+30),DAY(D57)))</f>
        <v>44578</v>
      </c>
      <c r="E58" s="20">
        <f aca="true" t="shared" si="5" ref="E58:E82">IF($A$47&lt;VALUE(LEFT(A58,2))," ",IF($A$47=VALUE(LEFT(A58,2)),$G$43-($E$48*($A$47-1)),E57))</f>
        <v>46921.88</v>
      </c>
      <c r="F58" s="43">
        <f aca="true" t="shared" si="6" ref="F58:F82">IF($A$47&lt;VALUE(LEFT(A58,2))," ",IF($A$47=VALUE(LEFT(A58,2)),$G$44-($F$48*($A$47-1)),F57))</f>
        <v>2932.62</v>
      </c>
      <c r="G58" s="22">
        <f aca="true" t="shared" si="7" ref="G58:G82">IF($A$47&lt;VALUE(LEFT(A58,2))," ",SUM(E58:F58))</f>
        <v>49854.5</v>
      </c>
    </row>
    <row r="59" spans="1:7" ht="12.75">
      <c r="A59" s="192" t="s">
        <v>51</v>
      </c>
      <c r="B59" s="192"/>
      <c r="C59" s="192"/>
      <c r="D59" s="42">
        <f t="shared" si="4"/>
        <v>44609</v>
      </c>
      <c r="E59" s="20">
        <f t="shared" si="5"/>
        <v>46921.88</v>
      </c>
      <c r="F59" s="43">
        <f t="shared" si="6"/>
        <v>2932.62</v>
      </c>
      <c r="G59" s="22">
        <f t="shared" si="7"/>
        <v>49854.5</v>
      </c>
    </row>
    <row r="60" spans="1:7" ht="12.75">
      <c r="A60" s="192" t="s">
        <v>52</v>
      </c>
      <c r="B60" s="192"/>
      <c r="C60" s="192"/>
      <c r="D60" s="42">
        <f t="shared" si="4"/>
        <v>44637</v>
      </c>
      <c r="E60" s="20">
        <f t="shared" si="5"/>
        <v>46921.88</v>
      </c>
      <c r="F60" s="43">
        <f t="shared" si="6"/>
        <v>2932.62</v>
      </c>
      <c r="G60" s="22">
        <f t="shared" si="7"/>
        <v>49854.5</v>
      </c>
    </row>
    <row r="61" spans="1:7" ht="12.75">
      <c r="A61" s="192" t="s">
        <v>53</v>
      </c>
      <c r="B61" s="192"/>
      <c r="C61" s="192"/>
      <c r="D61" s="42">
        <f t="shared" si="4"/>
        <v>44668</v>
      </c>
      <c r="E61" s="20">
        <f t="shared" si="5"/>
        <v>46921.88</v>
      </c>
      <c r="F61" s="43">
        <f t="shared" si="6"/>
        <v>2932.62</v>
      </c>
      <c r="G61" s="22">
        <f t="shared" si="7"/>
        <v>49854.5</v>
      </c>
    </row>
    <row r="62" spans="1:7" ht="12.75">
      <c r="A62" s="192" t="s">
        <v>54</v>
      </c>
      <c r="B62" s="192"/>
      <c r="C62" s="192"/>
      <c r="D62" s="42">
        <f t="shared" si="4"/>
        <v>44698</v>
      </c>
      <c r="E62" s="20">
        <f t="shared" si="5"/>
        <v>46921.88</v>
      </c>
      <c r="F62" s="43">
        <f t="shared" si="6"/>
        <v>2932.62</v>
      </c>
      <c r="G62" s="22">
        <f t="shared" si="7"/>
        <v>49854.5</v>
      </c>
    </row>
    <row r="63" spans="1:7" ht="12.75">
      <c r="A63" s="192" t="s">
        <v>55</v>
      </c>
      <c r="B63" s="192"/>
      <c r="C63" s="192"/>
      <c r="D63" s="42">
        <f t="shared" si="4"/>
        <v>44729</v>
      </c>
      <c r="E63" s="20">
        <f t="shared" si="5"/>
        <v>46921.88</v>
      </c>
      <c r="F63" s="43">
        <f t="shared" si="6"/>
        <v>2932.62</v>
      </c>
      <c r="G63" s="22">
        <f t="shared" si="7"/>
        <v>49854.5</v>
      </c>
    </row>
    <row r="64" spans="1:7" ht="12.75">
      <c r="A64" s="192" t="s">
        <v>56</v>
      </c>
      <c r="B64" s="192"/>
      <c r="C64" s="192"/>
      <c r="D64" s="42">
        <f t="shared" si="4"/>
        <v>44759</v>
      </c>
      <c r="E64" s="20">
        <f t="shared" si="5"/>
        <v>46921.88</v>
      </c>
      <c r="F64" s="43">
        <f t="shared" si="6"/>
        <v>2932.62</v>
      </c>
      <c r="G64" s="22">
        <f t="shared" si="7"/>
        <v>49854.5</v>
      </c>
    </row>
    <row r="65" spans="1:7" ht="12.75">
      <c r="A65" s="192" t="s">
        <v>57</v>
      </c>
      <c r="B65" s="192"/>
      <c r="C65" s="192"/>
      <c r="D65" s="42">
        <f t="shared" si="4"/>
        <v>44790</v>
      </c>
      <c r="E65" s="20">
        <f t="shared" si="5"/>
        <v>46921.88</v>
      </c>
      <c r="F65" s="43">
        <f t="shared" si="6"/>
        <v>2932.62</v>
      </c>
      <c r="G65" s="22">
        <f t="shared" si="7"/>
        <v>49854.5</v>
      </c>
    </row>
    <row r="66" spans="1:7" ht="12.75">
      <c r="A66" s="192" t="s">
        <v>58</v>
      </c>
      <c r="B66" s="192"/>
      <c r="C66" s="192"/>
      <c r="D66" s="42">
        <f t="shared" si="4"/>
        <v>44821</v>
      </c>
      <c r="E66" s="20">
        <f t="shared" si="5"/>
        <v>46921.88</v>
      </c>
      <c r="F66" s="43">
        <f t="shared" si="6"/>
        <v>2932.62</v>
      </c>
      <c r="G66" s="22">
        <f t="shared" si="7"/>
        <v>49854.5</v>
      </c>
    </row>
    <row r="67" spans="1:7" ht="12.75">
      <c r="A67" s="192" t="s">
        <v>59</v>
      </c>
      <c r="B67" s="192"/>
      <c r="C67" s="192"/>
      <c r="D67" s="42">
        <f t="shared" si="4"/>
        <v>44851</v>
      </c>
      <c r="E67" s="20">
        <f t="shared" si="5"/>
        <v>46921.88</v>
      </c>
      <c r="F67" s="43">
        <f t="shared" si="6"/>
        <v>2932.62</v>
      </c>
      <c r="G67" s="22">
        <f t="shared" si="7"/>
        <v>49854.5</v>
      </c>
    </row>
    <row r="68" spans="1:7" ht="12.75">
      <c r="A68" s="192" t="s">
        <v>60</v>
      </c>
      <c r="B68" s="192"/>
      <c r="C68" s="192"/>
      <c r="D68" s="42">
        <f t="shared" si="4"/>
        <v>44882</v>
      </c>
      <c r="E68" s="20">
        <f t="shared" si="5"/>
        <v>46921.88</v>
      </c>
      <c r="F68" s="43">
        <f t="shared" si="6"/>
        <v>2932.62</v>
      </c>
      <c r="G68" s="22">
        <f t="shared" si="7"/>
        <v>49854.5</v>
      </c>
    </row>
    <row r="69" spans="1:7" ht="12.75">
      <c r="A69" s="192" t="s">
        <v>61</v>
      </c>
      <c r="B69" s="192"/>
      <c r="C69" s="192"/>
      <c r="D69" s="42">
        <f t="shared" si="4"/>
        <v>44912</v>
      </c>
      <c r="E69" s="20">
        <f t="shared" si="5"/>
        <v>46921.88</v>
      </c>
      <c r="F69" s="43">
        <f t="shared" si="6"/>
        <v>2932.62</v>
      </c>
      <c r="G69" s="22">
        <f t="shared" si="7"/>
        <v>49854.5</v>
      </c>
    </row>
    <row r="70" spans="1:7" ht="12.75">
      <c r="A70" s="192" t="s">
        <v>62</v>
      </c>
      <c r="B70" s="192"/>
      <c r="C70" s="192"/>
      <c r="D70" s="42">
        <f t="shared" si="4"/>
        <v>44943</v>
      </c>
      <c r="E70" s="20">
        <f t="shared" si="5"/>
        <v>46921.88</v>
      </c>
      <c r="F70" s="43">
        <f t="shared" si="6"/>
        <v>2932.62</v>
      </c>
      <c r="G70" s="22">
        <f t="shared" si="7"/>
        <v>49854.5</v>
      </c>
    </row>
    <row r="71" spans="1:7" ht="12.75">
      <c r="A71" s="192" t="s">
        <v>63</v>
      </c>
      <c r="B71" s="192"/>
      <c r="C71" s="192"/>
      <c r="D71" s="42">
        <f t="shared" si="4"/>
        <v>44974</v>
      </c>
      <c r="E71" s="20">
        <f t="shared" si="5"/>
        <v>46921.76000000001</v>
      </c>
      <c r="F71" s="43">
        <f t="shared" si="6"/>
        <v>2932.560000000012</v>
      </c>
      <c r="G71" s="22">
        <f t="shared" si="7"/>
        <v>49854.32000000002</v>
      </c>
    </row>
    <row r="72" spans="1:7" ht="12.75" hidden="1">
      <c r="A72" s="192" t="s">
        <v>64</v>
      </c>
      <c r="B72" s="192"/>
      <c r="C72" s="192"/>
      <c r="D72" s="42" t="str">
        <f t="shared" si="4"/>
        <v> </v>
      </c>
      <c r="E72" s="20" t="str">
        <f t="shared" si="5"/>
        <v> </v>
      </c>
      <c r="F72" s="43" t="str">
        <f t="shared" si="6"/>
        <v> </v>
      </c>
      <c r="G72" s="22" t="str">
        <f t="shared" si="7"/>
        <v> </v>
      </c>
    </row>
    <row r="73" spans="1:7" ht="12.75" hidden="1">
      <c r="A73" s="192" t="s">
        <v>65</v>
      </c>
      <c r="B73" s="192"/>
      <c r="C73" s="192"/>
      <c r="D73" s="42" t="str">
        <f t="shared" si="4"/>
        <v> </v>
      </c>
      <c r="E73" s="20" t="str">
        <f t="shared" si="5"/>
        <v> </v>
      </c>
      <c r="F73" s="43" t="str">
        <f t="shared" si="6"/>
        <v> </v>
      </c>
      <c r="G73" s="22" t="str">
        <f t="shared" si="7"/>
        <v> </v>
      </c>
    </row>
    <row r="74" spans="1:7" ht="12.75" hidden="1">
      <c r="A74" s="192" t="s">
        <v>66</v>
      </c>
      <c r="B74" s="192"/>
      <c r="C74" s="192"/>
      <c r="D74" s="42" t="str">
        <f t="shared" si="4"/>
        <v> </v>
      </c>
      <c r="E74" s="20" t="str">
        <f t="shared" si="5"/>
        <v> </v>
      </c>
      <c r="F74" s="43" t="str">
        <f t="shared" si="6"/>
        <v> </v>
      </c>
      <c r="G74" s="22" t="str">
        <f t="shared" si="7"/>
        <v> </v>
      </c>
    </row>
    <row r="75" spans="1:7" ht="12.75" hidden="1">
      <c r="A75" s="192" t="s">
        <v>67</v>
      </c>
      <c r="B75" s="192"/>
      <c r="C75" s="192"/>
      <c r="D75" s="42" t="str">
        <f t="shared" si="4"/>
        <v> </v>
      </c>
      <c r="E75" s="20" t="str">
        <f t="shared" si="5"/>
        <v> </v>
      </c>
      <c r="F75" s="43" t="str">
        <f t="shared" si="6"/>
        <v> </v>
      </c>
      <c r="G75" s="22" t="str">
        <f t="shared" si="7"/>
        <v> </v>
      </c>
    </row>
    <row r="76" spans="1:7" ht="12.75" hidden="1">
      <c r="A76" s="192" t="s">
        <v>68</v>
      </c>
      <c r="B76" s="192"/>
      <c r="C76" s="192"/>
      <c r="D76" s="42" t="str">
        <f t="shared" si="4"/>
        <v> </v>
      </c>
      <c r="E76" s="20" t="str">
        <f t="shared" si="5"/>
        <v> </v>
      </c>
      <c r="F76" s="43" t="str">
        <f t="shared" si="6"/>
        <v> </v>
      </c>
      <c r="G76" s="22" t="str">
        <f t="shared" si="7"/>
        <v> </v>
      </c>
    </row>
    <row r="77" spans="1:7" ht="12.75" hidden="1">
      <c r="A77" s="192" t="s">
        <v>69</v>
      </c>
      <c r="B77" s="192"/>
      <c r="C77" s="192"/>
      <c r="D77" s="42" t="str">
        <f t="shared" si="4"/>
        <v> </v>
      </c>
      <c r="E77" s="20" t="str">
        <f t="shared" si="5"/>
        <v> </v>
      </c>
      <c r="F77" s="43" t="str">
        <f t="shared" si="6"/>
        <v> </v>
      </c>
      <c r="G77" s="22" t="str">
        <f t="shared" si="7"/>
        <v> </v>
      </c>
    </row>
    <row r="78" spans="1:7" ht="12.75" hidden="1">
      <c r="A78" s="192" t="s">
        <v>70</v>
      </c>
      <c r="B78" s="192"/>
      <c r="C78" s="192"/>
      <c r="D78" s="42" t="str">
        <f t="shared" si="4"/>
        <v> </v>
      </c>
      <c r="E78" s="20" t="str">
        <f t="shared" si="5"/>
        <v> </v>
      </c>
      <c r="F78" s="43" t="str">
        <f t="shared" si="6"/>
        <v> </v>
      </c>
      <c r="G78" s="22" t="str">
        <f t="shared" si="7"/>
        <v> </v>
      </c>
    </row>
    <row r="79" spans="1:7" ht="12.75" hidden="1">
      <c r="A79" s="192" t="s">
        <v>71</v>
      </c>
      <c r="B79" s="192"/>
      <c r="C79" s="192"/>
      <c r="D79" s="42" t="str">
        <f t="shared" si="4"/>
        <v> </v>
      </c>
      <c r="E79" s="20" t="str">
        <f t="shared" si="5"/>
        <v> </v>
      </c>
      <c r="F79" s="43" t="str">
        <f t="shared" si="6"/>
        <v> </v>
      </c>
      <c r="G79" s="22" t="str">
        <f t="shared" si="7"/>
        <v> </v>
      </c>
    </row>
    <row r="80" spans="1:7" ht="12.75" hidden="1">
      <c r="A80" s="192" t="s">
        <v>72</v>
      </c>
      <c r="B80" s="192"/>
      <c r="C80" s="192"/>
      <c r="D80" s="42" t="str">
        <f t="shared" si="4"/>
        <v> </v>
      </c>
      <c r="E80" s="20" t="str">
        <f t="shared" si="5"/>
        <v> </v>
      </c>
      <c r="F80" s="43" t="str">
        <f t="shared" si="6"/>
        <v> </v>
      </c>
      <c r="G80" s="22" t="str">
        <f t="shared" si="7"/>
        <v> </v>
      </c>
    </row>
    <row r="81" spans="1:7" ht="12.75" hidden="1">
      <c r="A81" s="192" t="s">
        <v>73</v>
      </c>
      <c r="B81" s="192"/>
      <c r="C81" s="192"/>
      <c r="D81" s="42" t="str">
        <f t="shared" si="4"/>
        <v> </v>
      </c>
      <c r="E81" s="20" t="str">
        <f t="shared" si="5"/>
        <v> </v>
      </c>
      <c r="F81" s="43" t="str">
        <f t="shared" si="6"/>
        <v> </v>
      </c>
      <c r="G81" s="22" t="str">
        <f t="shared" si="7"/>
        <v> </v>
      </c>
    </row>
    <row r="82" spans="1:7" ht="12.75" hidden="1">
      <c r="A82" s="192" t="s">
        <v>74</v>
      </c>
      <c r="B82" s="192"/>
      <c r="C82" s="192"/>
      <c r="D82" s="42" t="str">
        <f t="shared" si="4"/>
        <v> </v>
      </c>
      <c r="E82" s="20" t="str">
        <f t="shared" si="5"/>
        <v> </v>
      </c>
      <c r="F82" s="43" t="str">
        <f t="shared" si="6"/>
        <v> </v>
      </c>
      <c r="G82" s="22" t="str">
        <f t="shared" si="7"/>
        <v> </v>
      </c>
    </row>
    <row r="83" spans="1:7" ht="12.75" hidden="1">
      <c r="A83" s="192" t="s">
        <v>75</v>
      </c>
      <c r="B83" s="192"/>
      <c r="C83" s="192"/>
      <c r="D83" s="42" t="str">
        <f>IF($A$47&lt;VALUE(LEFT(A83,2))," ",DATE(YEAR(D82+30),MONTH(D82+30),DAY(D82)))</f>
        <v> </v>
      </c>
      <c r="E83" s="20" t="str">
        <f>IF($A$47&lt;VALUE(LEFT(A83,2))," ",IF($A$47=VALUE(LEFT(A83,2)),$G$43-($E$48*($A$47-1)),E82))</f>
        <v> </v>
      </c>
      <c r="F83" s="43" t="str">
        <f>IF($A$47&lt;VALUE(LEFT(A83,2))," ",IF($A$47=VALUE(LEFT(A83,2)),$G$44-($F$48*($A$47-1)),F82))</f>
        <v> </v>
      </c>
      <c r="G83" s="22" t="str">
        <f>IF($A$47&lt;VALUE(LEFT(A83,2))," ",SUM(E83:F83))</f>
        <v> </v>
      </c>
    </row>
    <row r="84" spans="2:7" ht="12.75">
      <c r="B84" s="34"/>
      <c r="E84" s="30"/>
      <c r="F84" s="28"/>
      <c r="G84" s="35"/>
    </row>
    <row r="85" ht="12.75">
      <c r="A85" s="26" t="s">
        <v>76</v>
      </c>
    </row>
    <row r="86" spans="2:6" ht="12.75">
      <c r="B86" s="1" t="s">
        <v>77</v>
      </c>
      <c r="F86" s="44">
        <f>D66</f>
        <v>44821</v>
      </c>
    </row>
    <row r="87" spans="2:9" ht="12.75">
      <c r="B87" s="1" t="s">
        <v>78</v>
      </c>
      <c r="F87" s="44">
        <f>DATE(YEAR(MAX(D48:D71)+30),MONTH(MAX(D48:D71)+30),DAY(F86))</f>
        <v>45002</v>
      </c>
      <c r="G87" s="45">
        <f>ROUND(((G24+G25)*((100-A33)/100))+(G29*(100-A33)/100),2)</f>
        <v>9572062.5</v>
      </c>
      <c r="I87" s="22"/>
    </row>
    <row r="88" ht="12.75">
      <c r="B88" s="1" t="s">
        <v>79</v>
      </c>
    </row>
    <row r="90" spans="1:4" ht="12.75">
      <c r="A90" s="32" t="s">
        <v>80</v>
      </c>
      <c r="B90" s="46"/>
      <c r="C90" s="46"/>
      <c r="D90" s="46"/>
    </row>
    <row r="91" spans="1:7" ht="12.75">
      <c r="A91" s="158" t="s">
        <v>118</v>
      </c>
      <c r="B91" s="158"/>
      <c r="C91" s="158"/>
      <c r="D91" s="158"/>
      <c r="E91" s="158"/>
      <c r="F91" s="158"/>
      <c r="G91" s="158"/>
    </row>
    <row r="92" spans="1:4" ht="12.75">
      <c r="A92" s="46" t="s">
        <v>81</v>
      </c>
      <c r="B92" s="46"/>
      <c r="C92" s="46"/>
      <c r="D92" s="46"/>
    </row>
    <row r="93" spans="1:4" ht="12.75">
      <c r="A93" s="46" t="s">
        <v>82</v>
      </c>
      <c r="B93" s="46"/>
      <c r="C93" s="46"/>
      <c r="D93" s="46"/>
    </row>
    <row r="94" spans="1:4" ht="12.75">
      <c r="A94" s="46" t="s">
        <v>83</v>
      </c>
      <c r="B94" s="46"/>
      <c r="C94" s="46"/>
      <c r="D94" s="46"/>
    </row>
    <row r="95" spans="1:4" ht="12.75">
      <c r="A95" s="47" t="s">
        <v>84</v>
      </c>
      <c r="B95" s="46"/>
      <c r="C95" s="46"/>
      <c r="D95" s="46"/>
    </row>
    <row r="96" spans="1:4" ht="12.75">
      <c r="A96" s="47" t="s">
        <v>85</v>
      </c>
      <c r="B96" s="46"/>
      <c r="C96" s="46"/>
      <c r="D96" s="46"/>
    </row>
    <row r="97" spans="1:4" ht="12.75">
      <c r="A97" s="47" t="s">
        <v>86</v>
      </c>
      <c r="B97" s="46"/>
      <c r="C97" s="46"/>
      <c r="D97" s="46"/>
    </row>
    <row r="98" spans="1:4" ht="12.75">
      <c r="A98" s="47" t="s">
        <v>87</v>
      </c>
      <c r="B98" s="46"/>
      <c r="C98" s="46"/>
      <c r="D98" s="46"/>
    </row>
    <row r="99" spans="1:4" ht="12.75">
      <c r="A99" s="47" t="s">
        <v>88</v>
      </c>
      <c r="B99" s="46"/>
      <c r="C99" s="46"/>
      <c r="D99" s="46"/>
    </row>
    <row r="100" spans="1:7" ht="12.75">
      <c r="A100" s="158" t="s">
        <v>117</v>
      </c>
      <c r="B100" s="158"/>
      <c r="C100" s="158"/>
      <c r="D100" s="158"/>
      <c r="E100" s="158"/>
      <c r="F100" s="158"/>
      <c r="G100" s="158"/>
    </row>
  </sheetData>
  <sheetProtection/>
  <mergeCells count="44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91:G91"/>
    <mergeCell ref="A100:G100"/>
    <mergeCell ref="A78:C78"/>
    <mergeCell ref="A79:C79"/>
    <mergeCell ref="A80:C80"/>
    <mergeCell ref="A81:C81"/>
    <mergeCell ref="A82:C82"/>
    <mergeCell ref="A83:C83"/>
  </mergeCells>
  <conditionalFormatting sqref="B11 B25">
    <cfRule type="expression" priority="1" dxfId="27" stopIfTrue="1">
      <formula>G11=0</formula>
    </cfRule>
  </conditionalFormatting>
  <conditionalFormatting sqref="A49:C56">
    <cfRule type="expression" priority="2" dxfId="27" stopIfTrue="1">
      <formula>VALUE(NoDPSchedule)&lt;VALUE(LEFT(A49,1))</formula>
    </cfRule>
  </conditionalFormatting>
  <conditionalFormatting sqref="A57:C83">
    <cfRule type="expression" priority="3" dxfId="27" stopIfTrue="1">
      <formula>VALUE(NoDPSchedule)&lt;VALUE(LEFT(A57,2))</formula>
    </cfRule>
  </conditionalFormatting>
  <conditionalFormatting sqref="G11 G25">
    <cfRule type="expression" priority="4" dxfId="27" stopIfTrue="1">
      <formula>G11=0</formula>
    </cfRule>
  </conditionalFormatting>
  <conditionalFormatting sqref="D4">
    <cfRule type="expression" priority="5" dxfId="28" stopIfTrue="1">
      <formula>G5&lt;=TODAY()</formula>
    </cfRule>
  </conditionalFormatting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Baldovino, Dhiana R.</cp:lastModifiedBy>
  <cp:lastPrinted>2020-10-02T06:53:10Z</cp:lastPrinted>
  <dcterms:created xsi:type="dcterms:W3CDTF">2019-02-22T08:42:58Z</dcterms:created>
  <dcterms:modified xsi:type="dcterms:W3CDTF">2021-01-15T10:00:55Z</dcterms:modified>
  <cp:category/>
  <cp:version/>
  <cp:contentType/>
  <cp:contentStatus/>
</cp:coreProperties>
</file>