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defaultThemeVersion="124226"/>
  <mc:AlternateContent xmlns:mc="http://schemas.openxmlformats.org/markup-compatibility/2006">
    <mc:Choice Requires="x15">
      <x15ac:absPath xmlns:x15ac="http://schemas.microsoft.com/office/spreadsheetml/2010/11/ac" url="C:\Users\angela.aulo\AppData\Local\Microsoft\Windows\INetCache\Content.Outlook\MHBIYJ38\"/>
    </mc:Choice>
  </mc:AlternateContent>
  <xr:revisionPtr revIDLastSave="0" documentId="13_ncr:1000001_{620AFB70-B7B0-F54B-B0EE-DA42F84E8D07}" xr6:coauthVersionLast="47" xr6:coauthVersionMax="47" xr10:uidLastSave="{00000000-0000-0000-0000-000000000000}"/>
  <workbookProtection workbookPassword="C931" lockStructure="1"/>
  <bookViews>
    <workbookView xWindow="195" yWindow="465" windowWidth="27120" windowHeight="11985" firstSheet="1" activeTab="2" xr2:uid="{00000000-000D-0000-FFFF-FFFF00000000}"/>
  </bookViews>
  <sheets>
    <sheet name="Pricelist" sheetId="2" state="hidden" r:id="rId1"/>
    <sheet name="INPUT" sheetId="1" r:id="rId2"/>
    <sheet name="SY_Non_Cash" sheetId="38" r:id="rId3"/>
    <sheet name="Classic_Mem_Cash" sheetId="74" r:id="rId4"/>
    <sheet name="SY_Mem_Cash" sheetId="31" state="hidden" r:id="rId5"/>
    <sheet name="Classic_Mem_Inst1" sheetId="32" state="hidden" r:id="rId6"/>
    <sheet name="Classic_Mem_Inst2" sheetId="33" state="hidden" r:id="rId7"/>
    <sheet name="Classic_Mem_Inst3" sheetId="34" state="hidden" r:id="rId8"/>
    <sheet name="Classic_Mem_Inst4" sheetId="76" state="hidden" r:id="rId9"/>
    <sheet name="Classic_Mem_Inst5" sheetId="78" state="hidden" r:id="rId10"/>
    <sheet name="Classic_Mem_Inst6" sheetId="80" state="hidden" r:id="rId11"/>
    <sheet name="Classic_Non_Cash" sheetId="75" state="hidden" r:id="rId12"/>
    <sheet name="Classic_Non_Inst1" sheetId="39" r:id="rId13"/>
    <sheet name="Classic_Non_Inst2" sheetId="40" r:id="rId14"/>
    <sheet name="Classic_Non_Inst3" sheetId="41" state="hidden" r:id="rId15"/>
    <sheet name="Classic_Non_Inst5" sheetId="79" r:id="rId16"/>
    <sheet name="Classic_Non_Inst4" sheetId="77" state="hidden" r:id="rId17"/>
    <sheet name="Classic_Non_Inst6" sheetId="81" state="hidden" r:id="rId18"/>
  </sheets>
  <externalReferences>
    <externalReference r:id="rId19"/>
    <externalReference r:id="rId20"/>
  </externalReferences>
  <definedNames>
    <definedName name="_xlnm._FilterDatabase" localSheetId="0" hidden="1">Pricelist!$A$6:$K$6</definedName>
    <definedName name="_xlnm.Print_Area" localSheetId="3">Classic_Mem_Cash!$B$1:$I$45</definedName>
    <definedName name="_xlnm.Print_Area" localSheetId="5">Classic_Mem_Inst1!$B$1:$I$98</definedName>
    <definedName name="_xlnm.Print_Area" localSheetId="6">Classic_Mem_Inst2!$B$2:$I$98</definedName>
    <definedName name="_xlnm.Print_Area" localSheetId="7">Classic_Mem_Inst3!$B$2:$I$88</definedName>
    <definedName name="_xlnm.Print_Area" localSheetId="8">Classic_Mem_Inst4!$B$2:$I$109</definedName>
    <definedName name="_xlnm.Print_Area" localSheetId="9">Classic_Mem_Inst5!$B$2:$I$87</definedName>
    <definedName name="_xlnm.Print_Area" localSheetId="10">Classic_Mem_Inst6!$B$2:$I$95</definedName>
    <definedName name="_xlnm.Print_Area" localSheetId="11">Classic_Non_Cash!$B$1:$I$49</definedName>
    <definedName name="_xlnm.Print_Area" localSheetId="12">Classic_Non_Inst1!$B$1:$I$94</definedName>
    <definedName name="_xlnm.Print_Area" localSheetId="13">Classic_Non_Inst2!$B$1:$I$95</definedName>
    <definedName name="_xlnm.Print_Area" localSheetId="14">Classic_Non_Inst3!$B$1:$I$88</definedName>
    <definedName name="_xlnm.Print_Area" localSheetId="16">Classic_Non_Inst4!$B$1:$I$109</definedName>
    <definedName name="_xlnm.Print_Area" localSheetId="15">Classic_Non_Inst5!$B$1:$I$89</definedName>
    <definedName name="_xlnm.Print_Area" localSheetId="17">Classic_Non_Inst6!$B$1:$I$99</definedName>
    <definedName name="_xlnm.Print_Area" localSheetId="0">Pricelist!$A$2:$K$6</definedName>
    <definedName name="_xlnm.Print_Area" localSheetId="4">SY_Mem_Cash!$B$1:$I$62</definedName>
    <definedName name="_xlnm.Print_Area" localSheetId="2">SY_Non_Cash!$B$1:$I$61</definedName>
    <definedName name="_xlnm.Print_Titles" localSheetId="0">Pricelist!$2:$6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9" i="39" l="1"/>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E9" i="2"/>
  <c r="D29" i="41"/>
  <c r="D30" i="41"/>
  <c r="D31" i="41"/>
  <c r="E7" i="2"/>
  <c r="E8" i="2"/>
  <c r="D32" i="41"/>
  <c r="D33" i="41"/>
  <c r="D34" i="41"/>
  <c r="D35" i="41"/>
  <c r="D36" i="41"/>
  <c r="D37" i="41"/>
  <c r="D38" i="41"/>
  <c r="D39" i="41"/>
  <c r="D40" i="41"/>
  <c r="D41" i="41"/>
  <c r="D42" i="41"/>
  <c r="D43" i="41"/>
  <c r="D44" i="41"/>
  <c r="D45" i="41"/>
  <c r="D46" i="41"/>
  <c r="D47" i="41"/>
  <c r="D48" i="41"/>
  <c r="D49" i="41"/>
  <c r="D50" i="41"/>
  <c r="D51" i="41"/>
  <c r="D52" i="41"/>
  <c r="D53" i="41"/>
  <c r="D54" i="41"/>
  <c r="D55" i="41"/>
  <c r="D56" i="41"/>
  <c r="D57" i="41"/>
  <c r="D58" i="41"/>
  <c r="D59" i="41"/>
  <c r="D60" i="41"/>
  <c r="D61" i="41"/>
  <c r="D62" i="41"/>
  <c r="D63" i="41"/>
  <c r="D64" i="41"/>
  <c r="D65" i="41"/>
  <c r="D66" i="41"/>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D40" i="1"/>
  <c r="D46" i="1"/>
  <c r="C8" i="31"/>
  <c r="B17" i="79"/>
  <c r="C17" i="79"/>
  <c r="E10" i="2"/>
  <c r="D26" i="1"/>
  <c r="E11" i="2"/>
  <c r="D32" i="1"/>
  <c r="B18" i="38"/>
  <c r="C18" i="38"/>
  <c r="B22" i="40"/>
  <c r="C22" i="40"/>
  <c r="B18" i="78"/>
  <c r="C18" i="78"/>
  <c r="B19" i="33"/>
  <c r="C19" i="33"/>
  <c r="B19" i="32"/>
  <c r="C19" i="32"/>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25" i="78"/>
  <c r="B26" i="78"/>
  <c r="B27" i="78"/>
  <c r="B28" i="78"/>
  <c r="B29" i="78"/>
  <c r="B30" i="78"/>
  <c r="B31" i="78"/>
  <c r="B32" i="78"/>
  <c r="B33" i="78"/>
  <c r="B34" i="78"/>
  <c r="B35" i="78"/>
  <c r="B36" i="78"/>
  <c r="B37" i="78"/>
  <c r="B38" i="78"/>
  <c r="B39" i="78"/>
  <c r="B40" i="78"/>
  <c r="B41" i="78"/>
  <c r="B42" i="78"/>
  <c r="B43" i="78"/>
  <c r="B44" i="78"/>
  <c r="B45" i="78"/>
  <c r="B46" i="78"/>
  <c r="B47" i="78"/>
  <c r="B48" i="78"/>
  <c r="B49" i="78"/>
  <c r="B50" i="78"/>
  <c r="B51" i="78"/>
  <c r="B52" i="78"/>
  <c r="B53" i="78"/>
  <c r="B54" i="78"/>
  <c r="B55" i="78"/>
  <c r="B56" i="78"/>
  <c r="B57" i="78"/>
  <c r="B58" i="78"/>
  <c r="B59" i="78"/>
  <c r="B60" i="78"/>
  <c r="B61" i="78"/>
  <c r="B62" i="78"/>
  <c r="B63" i="78"/>
  <c r="B64" i="78"/>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D27" i="77"/>
  <c r="D28" i="77"/>
  <c r="D29" i="77"/>
  <c r="D30" i="77"/>
  <c r="D31" i="77"/>
  <c r="D32" i="77"/>
  <c r="D33" i="77"/>
  <c r="D34" i="77"/>
  <c r="D35" i="77"/>
  <c r="D36" i="77"/>
  <c r="D37" i="77"/>
  <c r="D38" i="77"/>
  <c r="D39" i="77"/>
  <c r="D40" i="77"/>
  <c r="D41" i="77"/>
  <c r="D42" i="77"/>
  <c r="D43" i="77"/>
  <c r="D44" i="77"/>
  <c r="D45" i="77"/>
  <c r="D46" i="77"/>
  <c r="D47" i="77"/>
  <c r="D48" i="77"/>
  <c r="D49" i="77"/>
  <c r="D50" i="77"/>
  <c r="D51" i="77"/>
  <c r="D52" i="77"/>
  <c r="D53" i="77"/>
  <c r="D54" i="77"/>
  <c r="D55" i="77"/>
  <c r="D56" i="77"/>
  <c r="D57" i="77"/>
  <c r="D58" i="77"/>
  <c r="D59" i="77"/>
  <c r="D60" i="77"/>
  <c r="D61" i="77"/>
  <c r="D62" i="77"/>
  <c r="D63" i="77"/>
  <c r="D64" i="77"/>
  <c r="D65" i="77"/>
  <c r="D66" i="77"/>
  <c r="D67" i="77"/>
  <c r="D68" i="77"/>
  <c r="D69" i="77"/>
  <c r="D70" i="77"/>
  <c r="D71" i="77"/>
  <c r="D72" i="77"/>
  <c r="D73" i="77"/>
  <c r="D74" i="77"/>
  <c r="D75" i="77"/>
  <c r="D76" i="77"/>
  <c r="D77" i="77"/>
  <c r="D78" i="77"/>
  <c r="D79" i="77"/>
  <c r="D80" i="77"/>
  <c r="D81" i="77"/>
  <c r="D82" i="77"/>
  <c r="D83" i="77"/>
  <c r="D84" i="77"/>
  <c r="D85" i="77"/>
  <c r="D86" i="77"/>
  <c r="D48" i="1"/>
  <c r="D28" i="40"/>
  <c r="D30" i="40"/>
  <c r="D31" i="40"/>
  <c r="D32" i="40"/>
  <c r="D33" i="40"/>
  <c r="D34"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B27" i="76"/>
  <c r="B28" i="76"/>
  <c r="B29" i="76"/>
  <c r="B30" i="76"/>
  <c r="B31" i="76"/>
  <c r="B32" i="76"/>
  <c r="B33" i="76"/>
  <c r="B34" i="76"/>
  <c r="B35" i="76"/>
  <c r="B36" i="76"/>
  <c r="B37" i="76"/>
  <c r="B38" i="76"/>
  <c r="B39" i="76"/>
  <c r="B40" i="76"/>
  <c r="B41" i="76"/>
  <c r="B42" i="76"/>
  <c r="B43" i="76"/>
  <c r="B44" i="76"/>
  <c r="B45" i="76"/>
  <c r="B46" i="76"/>
  <c r="B47" i="76"/>
  <c r="B48" i="76"/>
  <c r="B49" i="76"/>
  <c r="B50" i="76"/>
  <c r="B51" i="76"/>
  <c r="B52" i="76"/>
  <c r="B53" i="76"/>
  <c r="B54" i="76"/>
  <c r="B55" i="76"/>
  <c r="B56" i="76"/>
  <c r="B57" i="76"/>
  <c r="B58" i="76"/>
  <c r="B59" i="76"/>
  <c r="B60" i="76"/>
  <c r="B61" i="76"/>
  <c r="B62" i="76"/>
  <c r="B63" i="76"/>
  <c r="B64" i="76"/>
  <c r="B65" i="76"/>
  <c r="B66" i="76"/>
  <c r="B67" i="76"/>
  <c r="B68" i="76"/>
  <c r="B69" i="76"/>
  <c r="B70" i="76"/>
  <c r="B71" i="76"/>
  <c r="B72" i="76"/>
  <c r="B73" i="76"/>
  <c r="B74" i="76"/>
  <c r="B75" i="76"/>
  <c r="B76" i="76"/>
  <c r="B77" i="76"/>
  <c r="B78" i="76"/>
  <c r="B79" i="76"/>
  <c r="B80" i="76"/>
  <c r="B81" i="76"/>
  <c r="B82" i="76"/>
  <c r="B83" i="76"/>
  <c r="B84" i="76"/>
  <c r="B85" i="76"/>
  <c r="B86" i="76"/>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D28" i="81"/>
  <c r="D29" i="81"/>
  <c r="D30" i="81"/>
  <c r="D31" i="81"/>
  <c r="D32" i="81"/>
  <c r="D33" i="81"/>
  <c r="D34" i="81"/>
  <c r="D35" i="81"/>
  <c r="D36" i="81"/>
  <c r="D37" i="81"/>
  <c r="D38" i="81"/>
  <c r="D39" i="81"/>
  <c r="D40" i="81"/>
  <c r="D41" i="81"/>
  <c r="D42" i="81"/>
  <c r="D43" i="81"/>
  <c r="D44" i="81"/>
  <c r="D45" i="81"/>
  <c r="D46" i="81"/>
  <c r="D47" i="81"/>
  <c r="D48" i="81"/>
  <c r="D49" i="81"/>
  <c r="D50" i="81"/>
  <c r="D51" i="81"/>
  <c r="D52" i="81"/>
  <c r="D53" i="81"/>
  <c r="D54" i="81"/>
  <c r="D55" i="81"/>
  <c r="D56" i="81"/>
  <c r="D57" i="81"/>
  <c r="D58" i="81"/>
  <c r="D59" i="81"/>
  <c r="D60" i="81"/>
  <c r="D61" i="81"/>
  <c r="D62" i="81"/>
  <c r="D63" i="81"/>
  <c r="D64" i="81"/>
  <c r="D65" i="81"/>
  <c r="D66" i="81"/>
  <c r="D67" i="81"/>
  <c r="D68" i="81"/>
  <c r="D69" i="81"/>
  <c r="D70" i="81"/>
  <c r="D71" i="81"/>
  <c r="D72" i="81"/>
  <c r="D73" i="81"/>
  <c r="D74" i="81"/>
  <c r="D75" i="81"/>
  <c r="D76" i="81"/>
  <c r="D24" i="80"/>
  <c r="D25" i="80"/>
  <c r="D26" i="80"/>
  <c r="D27" i="80"/>
  <c r="D28" i="80"/>
  <c r="D29" i="80"/>
  <c r="D30" i="80"/>
  <c r="D31" i="80"/>
  <c r="D32" i="80"/>
  <c r="D33" i="80"/>
  <c r="D34" i="80"/>
  <c r="D35" i="80"/>
  <c r="D36" i="80"/>
  <c r="D37" i="80"/>
  <c r="D38" i="80"/>
  <c r="D39" i="80"/>
  <c r="D40" i="80"/>
  <c r="D41" i="80"/>
  <c r="D42" i="80"/>
  <c r="D43" i="80"/>
  <c r="D44" i="80"/>
  <c r="D45" i="80"/>
  <c r="D46" i="80"/>
  <c r="D47" i="80"/>
  <c r="D48" i="80"/>
  <c r="D49" i="80"/>
  <c r="D50" i="80"/>
  <c r="D51" i="80"/>
  <c r="D52" i="80"/>
  <c r="D53" i="80"/>
  <c r="D54" i="80"/>
  <c r="D55" i="80"/>
  <c r="D56" i="80"/>
  <c r="D57" i="80"/>
  <c r="D58" i="80"/>
  <c r="D59" i="80"/>
  <c r="D60" i="80"/>
  <c r="D61" i="80"/>
  <c r="D62" i="80"/>
  <c r="D63" i="80"/>
  <c r="D64" i="80"/>
  <c r="D65" i="80"/>
  <c r="D66" i="80"/>
  <c r="D67" i="80"/>
  <c r="D68" i="80"/>
  <c r="D69" i="80"/>
  <c r="D70" i="80"/>
  <c r="D71" i="80"/>
  <c r="D72" i="80"/>
  <c r="B28" i="81"/>
  <c r="B29" i="81"/>
  <c r="B30" i="81"/>
  <c r="B31" i="81"/>
  <c r="B32" i="81"/>
  <c r="B33" i="81"/>
  <c r="B34" i="81"/>
  <c r="B35" i="81"/>
  <c r="B36" i="81"/>
  <c r="B37" i="81"/>
  <c r="B38" i="81"/>
  <c r="B39" i="81"/>
  <c r="B40" i="81"/>
  <c r="B41" i="81"/>
  <c r="B42" i="81"/>
  <c r="B43" i="81"/>
  <c r="B44" i="81"/>
  <c r="B45" i="81"/>
  <c r="B46" i="81"/>
  <c r="B47" i="81"/>
  <c r="B48" i="81"/>
  <c r="B49" i="81"/>
  <c r="B50" i="81"/>
  <c r="B51" i="81"/>
  <c r="B52" i="81"/>
  <c r="B53" i="81"/>
  <c r="B54" i="81"/>
  <c r="B55" i="81"/>
  <c r="B56" i="81"/>
  <c r="B57" i="81"/>
  <c r="B58" i="81"/>
  <c r="B59" i="81"/>
  <c r="B60" i="81"/>
  <c r="B61" i="81"/>
  <c r="B62" i="81"/>
  <c r="B63" i="81"/>
  <c r="B64" i="81"/>
  <c r="B65" i="81"/>
  <c r="B66" i="81"/>
  <c r="B67" i="81"/>
  <c r="B68" i="81"/>
  <c r="B69" i="81"/>
  <c r="B70" i="81"/>
  <c r="B71" i="81"/>
  <c r="B72" i="81"/>
  <c r="B73" i="81"/>
  <c r="B74" i="81"/>
  <c r="B75" i="81"/>
  <c r="B76" i="81"/>
  <c r="B80" i="81"/>
  <c r="L77" i="81"/>
  <c r="M26" i="81"/>
  <c r="H26" i="81"/>
  <c r="D22" i="81"/>
  <c r="B22" i="81"/>
  <c r="B16" i="81"/>
  <c r="C16" i="81"/>
  <c r="E15" i="81"/>
  <c r="C7" i="81"/>
  <c r="C6" i="81"/>
  <c r="C3" i="81"/>
  <c r="B24" i="80"/>
  <c r="B25" i="80"/>
  <c r="B26" i="80"/>
  <c r="B27" i="80"/>
  <c r="B28" i="80"/>
  <c r="B29" i="80"/>
  <c r="B30" i="80"/>
  <c r="B31" i="80"/>
  <c r="B32" i="80"/>
  <c r="B33" i="80"/>
  <c r="B34" i="80"/>
  <c r="B35" i="80"/>
  <c r="B36" i="80"/>
  <c r="B37" i="80"/>
  <c r="B38" i="80"/>
  <c r="B39" i="80"/>
  <c r="B40" i="80"/>
  <c r="B41" i="80"/>
  <c r="B42" i="80"/>
  <c r="B43" i="80"/>
  <c r="B44" i="80"/>
  <c r="B45" i="80"/>
  <c r="B46" i="80"/>
  <c r="B47" i="80"/>
  <c r="B48" i="80"/>
  <c r="B49" i="80"/>
  <c r="B50" i="80"/>
  <c r="B51" i="80"/>
  <c r="B52" i="80"/>
  <c r="B53" i="80"/>
  <c r="B54" i="80"/>
  <c r="B55" i="80"/>
  <c r="B56" i="80"/>
  <c r="B57" i="80"/>
  <c r="B58" i="80"/>
  <c r="B59" i="80"/>
  <c r="B60" i="80"/>
  <c r="B61" i="80"/>
  <c r="B62" i="80"/>
  <c r="B63" i="80"/>
  <c r="B64" i="80"/>
  <c r="B65" i="80"/>
  <c r="B66" i="80"/>
  <c r="B67" i="80"/>
  <c r="B68" i="80"/>
  <c r="B69" i="80"/>
  <c r="B70" i="80"/>
  <c r="B71" i="80"/>
  <c r="B72" i="80"/>
  <c r="B76" i="80"/>
  <c r="L73" i="80"/>
  <c r="M22" i="80"/>
  <c r="H22" i="80"/>
  <c r="B17" i="80"/>
  <c r="C17" i="80"/>
  <c r="E16" i="80"/>
  <c r="D16" i="80"/>
  <c r="F16" i="80"/>
  <c r="G16" i="80"/>
  <c r="E15" i="80"/>
  <c r="C7" i="80"/>
  <c r="C6" i="80"/>
  <c r="C3" i="80"/>
  <c r="B15" i="74"/>
  <c r="C15" i="74"/>
  <c r="L9" i="38"/>
  <c r="L68" i="79"/>
  <c r="H26" i="79"/>
  <c r="M26" i="79"/>
  <c r="E15" i="79"/>
  <c r="C7" i="79"/>
  <c r="C6" i="79"/>
  <c r="C3" i="79"/>
  <c r="B21" i="41"/>
  <c r="C21" i="41"/>
  <c r="B21" i="39"/>
  <c r="C21" i="39"/>
  <c r="H23" i="78"/>
  <c r="L65" i="78"/>
  <c r="M23" i="78"/>
  <c r="E15" i="78"/>
  <c r="C7" i="78"/>
  <c r="C6" i="78"/>
  <c r="C3" i="78"/>
  <c r="B21" i="34"/>
  <c r="C21" i="34"/>
  <c r="D20" i="75"/>
  <c r="B15" i="77"/>
  <c r="C15" i="77"/>
  <c r="B18" i="75"/>
  <c r="C18" i="75"/>
  <c r="H25" i="77"/>
  <c r="L87" i="77"/>
  <c r="M25" i="77"/>
  <c r="E14" i="77"/>
  <c r="C7" i="77"/>
  <c r="C6" i="77"/>
  <c r="C3" i="77"/>
  <c r="B20" i="76"/>
  <c r="C20" i="76"/>
  <c r="L87" i="76"/>
  <c r="H25" i="76"/>
  <c r="M25" i="76"/>
  <c r="E15" i="76"/>
  <c r="E14" i="76"/>
  <c r="C7" i="76"/>
  <c r="C6" i="76"/>
  <c r="C3" i="76"/>
  <c r="E15" i="31"/>
  <c r="F15" i="31"/>
  <c r="C7" i="74"/>
  <c r="C7" i="31"/>
  <c r="C7" i="38"/>
  <c r="B30" i="75"/>
  <c r="L27" i="75"/>
  <c r="M24" i="75"/>
  <c r="H24" i="75"/>
  <c r="B20" i="75"/>
  <c r="C7" i="75"/>
  <c r="C6" i="75"/>
  <c r="C3" i="75"/>
  <c r="L23" i="74"/>
  <c r="B22" i="74"/>
  <c r="M20" i="74"/>
  <c r="H20" i="74"/>
  <c r="C6" i="74"/>
  <c r="N3" i="74"/>
  <c r="C3" i="74"/>
  <c r="N2" i="74"/>
  <c r="E15" i="41"/>
  <c r="E15" i="40"/>
  <c r="E15" i="39"/>
  <c r="D59" i="1"/>
  <c r="D65" i="1"/>
  <c r="N3" i="31"/>
  <c r="N2" i="31"/>
  <c r="L67" i="41"/>
  <c r="B29" i="41"/>
  <c r="M27" i="41"/>
  <c r="H27" i="41"/>
  <c r="C7" i="41"/>
  <c r="C6" i="41"/>
  <c r="C3" i="41"/>
  <c r="L74" i="40"/>
  <c r="M28" i="40"/>
  <c r="H28" i="40"/>
  <c r="C7" i="40"/>
  <c r="C6" i="40"/>
  <c r="C3" i="40"/>
  <c r="L73" i="39"/>
  <c r="H27" i="39"/>
  <c r="C7" i="39"/>
  <c r="C6" i="39"/>
  <c r="C3" i="39"/>
  <c r="L39" i="38"/>
  <c r="H37" i="38"/>
  <c r="H36" i="38"/>
  <c r="H35" i="38"/>
  <c r="H34" i="38"/>
  <c r="H33" i="38"/>
  <c r="H32" i="38"/>
  <c r="H31" i="38"/>
  <c r="H30" i="38"/>
  <c r="H29" i="38"/>
  <c r="H28" i="38"/>
  <c r="H27" i="38"/>
  <c r="M24" i="38"/>
  <c r="H24" i="38"/>
  <c r="C6" i="38"/>
  <c r="C3" i="38"/>
  <c r="L66" i="34"/>
  <c r="M26" i="34"/>
  <c r="H26" i="34"/>
  <c r="E15" i="34"/>
  <c r="C7" i="34"/>
  <c r="C6" i="34"/>
  <c r="C3" i="34"/>
  <c r="L76" i="33"/>
  <c r="H24" i="33"/>
  <c r="M24" i="33"/>
  <c r="C7" i="33"/>
  <c r="C6" i="33"/>
  <c r="C3" i="33"/>
  <c r="L76" i="32"/>
  <c r="H24" i="32"/>
  <c r="M24" i="32"/>
  <c r="C7" i="32"/>
  <c r="C6" i="32"/>
  <c r="C3" i="32"/>
  <c r="L40" i="31"/>
  <c r="H38" i="31"/>
  <c r="H37" i="31"/>
  <c r="H36" i="31"/>
  <c r="H35" i="31"/>
  <c r="H34" i="31"/>
  <c r="H33" i="31"/>
  <c r="H32" i="31"/>
  <c r="H31" i="31"/>
  <c r="H30" i="31"/>
  <c r="H29" i="31"/>
  <c r="H28" i="31"/>
  <c r="B27" i="31"/>
  <c r="B28" i="31"/>
  <c r="B29" i="31"/>
  <c r="B30" i="31"/>
  <c r="B31" i="31"/>
  <c r="B32" i="31"/>
  <c r="B33" i="31"/>
  <c r="B34" i="31"/>
  <c r="B35" i="31"/>
  <c r="B36" i="31"/>
  <c r="B37" i="31"/>
  <c r="B38" i="31"/>
  <c r="B39" i="31"/>
  <c r="M25" i="31"/>
  <c r="H25" i="31"/>
  <c r="B20" i="31"/>
  <c r="C20" i="31"/>
  <c r="C6" i="31"/>
  <c r="C3" i="31"/>
  <c r="D11" i="1"/>
  <c r="D66" i="1"/>
  <c r="F15" i="76"/>
  <c r="G15" i="31"/>
  <c r="D33" i="1"/>
  <c r="D17" i="1"/>
  <c r="D19" i="1"/>
  <c r="D18" i="1"/>
  <c r="G15" i="76"/>
  <c r="H15" i="76"/>
  <c r="D47" i="1"/>
  <c r="C9" i="41"/>
  <c r="D15" i="41"/>
  <c r="C8" i="74"/>
  <c r="C8" i="75"/>
  <c r="C8" i="41"/>
  <c r="C8" i="78"/>
  <c r="C8" i="32"/>
  <c r="C8" i="80"/>
  <c r="C8" i="81"/>
  <c r="C8" i="39"/>
  <c r="C8" i="79"/>
  <c r="C8" i="40"/>
  <c r="C8" i="38"/>
  <c r="D23" i="78"/>
  <c r="D25" i="78"/>
  <c r="D26" i="78"/>
  <c r="D27" i="78"/>
  <c r="D28" i="78"/>
  <c r="D29" i="78"/>
  <c r="D30" i="78"/>
  <c r="D31" i="78"/>
  <c r="D32" i="78"/>
  <c r="D33" i="78"/>
  <c r="D34" i="78"/>
  <c r="D35" i="78"/>
  <c r="D36" i="78"/>
  <c r="D37" i="78"/>
  <c r="D38" i="78"/>
  <c r="D39" i="78"/>
  <c r="D40" i="78"/>
  <c r="D41" i="78"/>
  <c r="D42" i="78"/>
  <c r="D43" i="78"/>
  <c r="D44" i="78"/>
  <c r="D45" i="78"/>
  <c r="D46" i="78"/>
  <c r="D47" i="78"/>
  <c r="D48" i="78"/>
  <c r="D49" i="78"/>
  <c r="D50" i="78"/>
  <c r="D51" i="78"/>
  <c r="D52" i="78"/>
  <c r="D53" i="78"/>
  <c r="D54" i="78"/>
  <c r="D55" i="78"/>
  <c r="D56" i="78"/>
  <c r="D57" i="78"/>
  <c r="D58" i="78"/>
  <c r="D59" i="78"/>
  <c r="D60" i="78"/>
  <c r="D61" i="78"/>
  <c r="D62" i="78"/>
  <c r="D63" i="78"/>
  <c r="D64" i="78"/>
  <c r="C8" i="77"/>
  <c r="C8" i="76"/>
  <c r="C8" i="34"/>
  <c r="C8" i="33"/>
  <c r="D24"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24" i="75"/>
  <c r="D26" i="75"/>
  <c r="D26" i="79"/>
  <c r="D28" i="79"/>
  <c r="D29" i="79"/>
  <c r="D30" i="79"/>
  <c r="D31" i="79"/>
  <c r="D32" i="79"/>
  <c r="D33" i="79"/>
  <c r="D34" i="79"/>
  <c r="D35" i="79"/>
  <c r="D36" i="79"/>
  <c r="D37" i="79"/>
  <c r="D38" i="79"/>
  <c r="D39" i="79"/>
  <c r="D40" i="79"/>
  <c r="D41" i="79"/>
  <c r="D42" i="79"/>
  <c r="D43" i="79"/>
  <c r="D44" i="79"/>
  <c r="D45" i="79"/>
  <c r="D46" i="79"/>
  <c r="D47" i="79"/>
  <c r="D48" i="79"/>
  <c r="D49" i="79"/>
  <c r="D50" i="79"/>
  <c r="D51" i="79"/>
  <c r="D52" i="79"/>
  <c r="D53" i="79"/>
  <c r="D54" i="79"/>
  <c r="D55" i="79"/>
  <c r="D56" i="79"/>
  <c r="D57" i="79"/>
  <c r="D58" i="79"/>
  <c r="D59" i="79"/>
  <c r="D60" i="79"/>
  <c r="D61" i="79"/>
  <c r="D62" i="79"/>
  <c r="D63" i="79"/>
  <c r="D64" i="79"/>
  <c r="D65" i="79"/>
  <c r="D66" i="79"/>
  <c r="D67" i="79"/>
  <c r="D26"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25" i="76"/>
  <c r="D27" i="76"/>
  <c r="D28" i="76"/>
  <c r="D29" i="76"/>
  <c r="D30" i="76"/>
  <c r="D31" i="76"/>
  <c r="D32" i="76"/>
  <c r="D33" i="76"/>
  <c r="D34" i="76"/>
  <c r="D35" i="76"/>
  <c r="D36" i="76"/>
  <c r="D37" i="76"/>
  <c r="D38" i="76"/>
  <c r="D39" i="76"/>
  <c r="D40" i="76"/>
  <c r="D41" i="76"/>
  <c r="D42" i="76"/>
  <c r="D43" i="76"/>
  <c r="D44" i="76"/>
  <c r="D45" i="76"/>
  <c r="D46" i="76"/>
  <c r="D47" i="76"/>
  <c r="D48" i="76"/>
  <c r="D49" i="76"/>
  <c r="D50" i="76"/>
  <c r="D51" i="76"/>
  <c r="D52" i="76"/>
  <c r="D53" i="76"/>
  <c r="D54" i="76"/>
  <c r="D55" i="76"/>
  <c r="D56" i="76"/>
  <c r="D57" i="76"/>
  <c r="D58" i="76"/>
  <c r="D59" i="76"/>
  <c r="D60" i="76"/>
  <c r="D61" i="76"/>
  <c r="D62" i="76"/>
  <c r="D63" i="76"/>
  <c r="D64" i="76"/>
  <c r="D65" i="76"/>
  <c r="D66" i="76"/>
  <c r="D67" i="76"/>
  <c r="D68" i="76"/>
  <c r="D69" i="76"/>
  <c r="D70" i="76"/>
  <c r="D71" i="76"/>
  <c r="D72" i="76"/>
  <c r="D73" i="76"/>
  <c r="D74" i="76"/>
  <c r="D75" i="76"/>
  <c r="D76" i="76"/>
  <c r="D77" i="76"/>
  <c r="D78" i="76"/>
  <c r="D79" i="76"/>
  <c r="D80" i="76"/>
  <c r="D81" i="76"/>
  <c r="D82" i="76"/>
  <c r="D83" i="76"/>
  <c r="D84" i="76"/>
  <c r="D85" i="76"/>
  <c r="D86" i="76"/>
  <c r="D24" i="38"/>
  <c r="D26" i="38"/>
  <c r="D27" i="38"/>
  <c r="D28" i="38"/>
  <c r="D29" i="38"/>
  <c r="D30" i="38"/>
  <c r="D31" i="38"/>
  <c r="D32" i="38"/>
  <c r="D33" i="38"/>
  <c r="D34" i="38"/>
  <c r="D35" i="38"/>
  <c r="D36" i="38"/>
  <c r="D37" i="38"/>
  <c r="D38" i="38"/>
  <c r="D20" i="74"/>
  <c r="D22" i="74"/>
  <c r="D27" i="39"/>
  <c r="D29" i="39"/>
  <c r="D30" i="39"/>
  <c r="D31" i="39"/>
  <c r="D32" i="39"/>
  <c r="D33" i="39"/>
  <c r="D34" i="39"/>
  <c r="D35" i="39"/>
  <c r="D36" i="39"/>
  <c r="D37" i="39"/>
  <c r="D38" i="39"/>
  <c r="D39" i="39"/>
  <c r="D40" i="39"/>
  <c r="D41" i="39"/>
  <c r="D42" i="39"/>
  <c r="D43" i="39"/>
  <c r="D44" i="39"/>
  <c r="D45" i="39"/>
  <c r="D46" i="39"/>
  <c r="D47" i="39"/>
  <c r="D48" i="39"/>
  <c r="D49" i="39"/>
  <c r="D50" i="39"/>
  <c r="D51" i="39"/>
  <c r="D52" i="39"/>
  <c r="D53" i="39"/>
  <c r="D54" i="39"/>
  <c r="D55" i="39"/>
  <c r="D56" i="39"/>
  <c r="D57" i="39"/>
  <c r="D58" i="39"/>
  <c r="D59" i="39"/>
  <c r="D60" i="39"/>
  <c r="D61" i="39"/>
  <c r="D62" i="39"/>
  <c r="D63" i="39"/>
  <c r="D64" i="39"/>
  <c r="D65" i="39"/>
  <c r="D66" i="39"/>
  <c r="D67" i="39"/>
  <c r="D68" i="39"/>
  <c r="D69" i="39"/>
  <c r="D70" i="39"/>
  <c r="D71" i="39"/>
  <c r="D72" i="39"/>
  <c r="D25" i="31"/>
  <c r="D27" i="31"/>
  <c r="D28" i="31"/>
  <c r="D29" i="31"/>
  <c r="D30" i="31"/>
  <c r="D31" i="31"/>
  <c r="D32" i="31"/>
  <c r="D33" i="31"/>
  <c r="D34" i="31"/>
  <c r="D35" i="31"/>
  <c r="D36" i="31"/>
  <c r="D37" i="31"/>
  <c r="D38" i="31"/>
  <c r="D39" i="31"/>
  <c r="D24"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H16" i="80"/>
  <c r="H15" i="31"/>
  <c r="C9" i="32"/>
  <c r="E15" i="32"/>
  <c r="C9" i="39"/>
  <c r="D15" i="39"/>
  <c r="D19" i="39"/>
  <c r="C9" i="77"/>
  <c r="D14" i="77"/>
  <c r="D15" i="77"/>
  <c r="D20" i="77"/>
  <c r="C9" i="76"/>
  <c r="D14" i="76"/>
  <c r="F14" i="76"/>
  <c r="C9" i="33"/>
  <c r="E15" i="33"/>
  <c r="C9" i="75"/>
  <c r="C9" i="74"/>
  <c r="C9" i="78"/>
  <c r="D15" i="78"/>
  <c r="D18" i="78"/>
  <c r="C9" i="81"/>
  <c r="C9" i="31"/>
  <c r="E14" i="31"/>
  <c r="D15" i="81"/>
  <c r="F15" i="81"/>
  <c r="G15" i="81"/>
  <c r="H15" i="81"/>
  <c r="C9" i="40"/>
  <c r="D15" i="40"/>
  <c r="D20" i="40"/>
  <c r="D22" i="40"/>
  <c r="C9" i="34"/>
  <c r="D15" i="34"/>
  <c r="D20" i="34"/>
  <c r="C9" i="80"/>
  <c r="D15" i="80"/>
  <c r="F15" i="80"/>
  <c r="C9" i="38"/>
  <c r="D14" i="38"/>
  <c r="D16" i="38"/>
  <c r="C9" i="79"/>
  <c r="D15" i="79"/>
  <c r="F15" i="79"/>
  <c r="G15" i="79"/>
  <c r="D15" i="32"/>
  <c r="F15" i="32"/>
  <c r="D19" i="41"/>
  <c r="F15" i="41"/>
  <c r="F14" i="77"/>
  <c r="F15" i="39"/>
  <c r="G15" i="39"/>
  <c r="H15" i="39"/>
  <c r="D20" i="76"/>
  <c r="D21" i="76"/>
  <c r="G27" i="76"/>
  <c r="G28" i="76"/>
  <c r="G29" i="76"/>
  <c r="G30" i="76"/>
  <c r="G31" i="76"/>
  <c r="G32" i="76"/>
  <c r="G33" i="76"/>
  <c r="G34" i="76"/>
  <c r="G35" i="76"/>
  <c r="G36" i="76"/>
  <c r="G37" i="76"/>
  <c r="G38" i="76"/>
  <c r="G39" i="76"/>
  <c r="G40" i="76"/>
  <c r="G41" i="76"/>
  <c r="G42" i="76"/>
  <c r="G43" i="76"/>
  <c r="G44" i="76"/>
  <c r="G45" i="76"/>
  <c r="G46" i="76"/>
  <c r="G47" i="76"/>
  <c r="G48" i="76"/>
  <c r="G49" i="76"/>
  <c r="G50" i="76"/>
  <c r="G51" i="76"/>
  <c r="G52" i="76"/>
  <c r="G53" i="76"/>
  <c r="G54" i="76"/>
  <c r="G55" i="76"/>
  <c r="G56" i="76"/>
  <c r="G57" i="76"/>
  <c r="G58" i="76"/>
  <c r="G59" i="76"/>
  <c r="G60" i="76"/>
  <c r="G61" i="76"/>
  <c r="G62" i="76"/>
  <c r="G63" i="76"/>
  <c r="G64" i="76"/>
  <c r="G65" i="76"/>
  <c r="G66" i="76"/>
  <c r="G67" i="76"/>
  <c r="G68" i="76"/>
  <c r="G69" i="76"/>
  <c r="G70" i="76"/>
  <c r="G71" i="76"/>
  <c r="G72" i="76"/>
  <c r="G73" i="76"/>
  <c r="G74" i="76"/>
  <c r="G75" i="76"/>
  <c r="G76" i="76"/>
  <c r="G77" i="76"/>
  <c r="G78" i="76"/>
  <c r="G79" i="76"/>
  <c r="G80" i="76"/>
  <c r="G81" i="76"/>
  <c r="G82" i="76"/>
  <c r="G83" i="76"/>
  <c r="G84" i="76"/>
  <c r="G85" i="76"/>
  <c r="G86" i="76"/>
  <c r="F15" i="78"/>
  <c r="F15" i="40"/>
  <c r="G15" i="40"/>
  <c r="H15" i="40"/>
  <c r="D17" i="79"/>
  <c r="D21" i="79"/>
  <c r="G31" i="79"/>
  <c r="G32" i="79"/>
  <c r="G33" i="79"/>
  <c r="G34" i="79"/>
  <c r="G35" i="79"/>
  <c r="G36" i="79"/>
  <c r="G37" i="79"/>
  <c r="G38" i="79"/>
  <c r="G39" i="79"/>
  <c r="G40" i="79"/>
  <c r="G41" i="79"/>
  <c r="G42" i="79"/>
  <c r="G43" i="79"/>
  <c r="G44" i="79"/>
  <c r="G45" i="79"/>
  <c r="G46" i="79"/>
  <c r="G47" i="79"/>
  <c r="G48" i="79"/>
  <c r="G49" i="79"/>
  <c r="G50" i="79"/>
  <c r="G51" i="79"/>
  <c r="G52" i="79"/>
  <c r="G53" i="79"/>
  <c r="G54" i="79"/>
  <c r="G55" i="79"/>
  <c r="G56" i="79"/>
  <c r="G57" i="79"/>
  <c r="G58" i="79"/>
  <c r="G59" i="79"/>
  <c r="G60" i="79"/>
  <c r="G61" i="79"/>
  <c r="G62" i="79"/>
  <c r="G63" i="79"/>
  <c r="G64" i="79"/>
  <c r="G65" i="79"/>
  <c r="G66" i="79"/>
  <c r="D13" i="74"/>
  <c r="E13" i="74"/>
  <c r="D15" i="33"/>
  <c r="E13" i="75"/>
  <c r="D13" i="75"/>
  <c r="D16" i="81"/>
  <c r="D21" i="81"/>
  <c r="D23" i="81"/>
  <c r="F76" i="81"/>
  <c r="D14" i="31"/>
  <c r="F14" i="31"/>
  <c r="G14" i="31"/>
  <c r="H14" i="31"/>
  <c r="D17" i="80"/>
  <c r="D18" i="80"/>
  <c r="G24" i="80"/>
  <c r="G25" i="80"/>
  <c r="G26" i="80"/>
  <c r="G27" i="80"/>
  <c r="G28" i="80"/>
  <c r="G29" i="80"/>
  <c r="G30" i="80"/>
  <c r="G31" i="80"/>
  <c r="G32" i="80"/>
  <c r="G33" i="80"/>
  <c r="F15" i="34"/>
  <c r="D21" i="34"/>
  <c r="D22" i="34"/>
  <c r="G28" i="34"/>
  <c r="H15" i="79"/>
  <c r="D20" i="41"/>
  <c r="D21" i="41"/>
  <c r="D22" i="41"/>
  <c r="D24" i="41"/>
  <c r="I27" i="41"/>
  <c r="I28" i="41"/>
  <c r="D21" i="39"/>
  <c r="D22" i="39"/>
  <c r="D18" i="38"/>
  <c r="D19" i="38"/>
  <c r="D21" i="38"/>
  <c r="F26" i="38"/>
  <c r="D23" i="40"/>
  <c r="D25" i="40"/>
  <c r="F31" i="40"/>
  <c r="D18" i="32"/>
  <c r="D19" i="32"/>
  <c r="D20" i="32"/>
  <c r="G15" i="41"/>
  <c r="H15" i="41"/>
  <c r="F64" i="78"/>
  <c r="D19" i="78"/>
  <c r="G27" i="77"/>
  <c r="D22" i="77"/>
  <c r="G14" i="77"/>
  <c r="H14" i="77"/>
  <c r="F28" i="81"/>
  <c r="F29" i="81"/>
  <c r="F30" i="81"/>
  <c r="D22" i="76"/>
  <c r="I25" i="76"/>
  <c r="I26" i="76"/>
  <c r="D19" i="31"/>
  <c r="D20" i="31"/>
  <c r="D21" i="31"/>
  <c r="G27" i="31"/>
  <c r="G39" i="31"/>
  <c r="G40" i="31"/>
  <c r="D14" i="74"/>
  <c r="D23" i="79"/>
  <c r="F28" i="79"/>
  <c r="F29" i="79"/>
  <c r="G28" i="79"/>
  <c r="G29" i="79"/>
  <c r="G30" i="79"/>
  <c r="G67" i="79"/>
  <c r="D24" i="39"/>
  <c r="F30" i="39"/>
  <c r="G30" i="39"/>
  <c r="G31" i="39"/>
  <c r="G32" i="39"/>
  <c r="G33" i="39"/>
  <c r="G34" i="39"/>
  <c r="G35" i="39"/>
  <c r="G36" i="39"/>
  <c r="G37" i="39"/>
  <c r="G38" i="39"/>
  <c r="G39" i="39"/>
  <c r="G40" i="39"/>
  <c r="G41" i="39"/>
  <c r="G42" i="39"/>
  <c r="G43" i="39"/>
  <c r="G44" i="39"/>
  <c r="G45" i="39"/>
  <c r="G46" i="39"/>
  <c r="G47" i="39"/>
  <c r="G48" i="39"/>
  <c r="G49" i="39"/>
  <c r="G50" i="39"/>
  <c r="G51" i="39"/>
  <c r="G52" i="39"/>
  <c r="G53" i="39"/>
  <c r="G54" i="39"/>
  <c r="G55" i="39"/>
  <c r="G56" i="39"/>
  <c r="G57" i="39"/>
  <c r="G58" i="39"/>
  <c r="G59" i="39"/>
  <c r="G60" i="39"/>
  <c r="G61" i="39"/>
  <c r="G62" i="39"/>
  <c r="G63" i="39"/>
  <c r="G64" i="39"/>
  <c r="G65" i="39"/>
  <c r="G66" i="39"/>
  <c r="G67" i="39"/>
  <c r="G68" i="39"/>
  <c r="G69" i="39"/>
  <c r="G70" i="39"/>
  <c r="G71" i="39"/>
  <c r="G28" i="81"/>
  <c r="G29" i="81"/>
  <c r="G30" i="81"/>
  <c r="G31" i="81"/>
  <c r="G32" i="81"/>
  <c r="G33" i="81"/>
  <c r="G34" i="81"/>
  <c r="G35" i="81"/>
  <c r="G36" i="81"/>
  <c r="G37" i="81"/>
  <c r="G38" i="81"/>
  <c r="G39" i="81"/>
  <c r="G40" i="81"/>
  <c r="D18" i="33"/>
  <c r="D19" i="33"/>
  <c r="D20" i="33"/>
  <c r="F15" i="33"/>
  <c r="D17" i="75"/>
  <c r="F13" i="75"/>
  <c r="G13" i="75"/>
  <c r="H13" i="75"/>
  <c r="F13" i="74"/>
  <c r="G34" i="80"/>
  <c r="G35" i="80"/>
  <c r="G36" i="80"/>
  <c r="G37" i="80"/>
  <c r="G38" i="80"/>
  <c r="G39" i="80"/>
  <c r="G40" i="80"/>
  <c r="G41" i="80"/>
  <c r="G42" i="80"/>
  <c r="G43" i="80"/>
  <c r="G44" i="80"/>
  <c r="G45" i="80"/>
  <c r="G46" i="80"/>
  <c r="G47" i="80"/>
  <c r="G48" i="80"/>
  <c r="G49" i="80"/>
  <c r="G50" i="80"/>
  <c r="G51" i="80"/>
  <c r="G52" i="80"/>
  <c r="G53" i="80"/>
  <c r="G54" i="80"/>
  <c r="G55" i="80"/>
  <c r="G56" i="80"/>
  <c r="G57" i="80"/>
  <c r="G58" i="80"/>
  <c r="G59" i="80"/>
  <c r="G60" i="80"/>
  <c r="G61" i="80"/>
  <c r="G62" i="80"/>
  <c r="G63" i="80"/>
  <c r="G64" i="80"/>
  <c r="G65" i="80"/>
  <c r="G66" i="80"/>
  <c r="G67" i="80"/>
  <c r="G68" i="80"/>
  <c r="G69" i="80"/>
  <c r="G70" i="80"/>
  <c r="G71" i="80"/>
  <c r="F38" i="81"/>
  <c r="F39" i="81"/>
  <c r="F40" i="81"/>
  <c r="F41" i="81"/>
  <c r="F42" i="81"/>
  <c r="F43" i="81"/>
  <c r="F44" i="81"/>
  <c r="G76" i="81"/>
  <c r="H76" i="81"/>
  <c r="F72" i="80"/>
  <c r="I24" i="38"/>
  <c r="I25" i="38"/>
  <c r="G72" i="80"/>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G63" i="34"/>
  <c r="G64" i="34"/>
  <c r="D19" i="80"/>
  <c r="I22" i="80"/>
  <c r="I23" i="80"/>
  <c r="I26" i="81"/>
  <c r="I27" i="81"/>
  <c r="D23" i="34"/>
  <c r="F29" i="34"/>
  <c r="G26" i="38"/>
  <c r="G38" i="38"/>
  <c r="G39" i="38"/>
  <c r="G73" i="40"/>
  <c r="G31" i="40"/>
  <c r="G32" i="40"/>
  <c r="G33" i="40"/>
  <c r="G34" i="40"/>
  <c r="G35" i="40"/>
  <c r="G36" i="40"/>
  <c r="G37" i="40"/>
  <c r="G38" i="40"/>
  <c r="G39" i="40"/>
  <c r="G40" i="40"/>
  <c r="G41" i="40"/>
  <c r="G42" i="40"/>
  <c r="G43" i="40"/>
  <c r="G44" i="40"/>
  <c r="G45" i="40"/>
  <c r="G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30" i="40"/>
  <c r="F73" i="40"/>
  <c r="G72" i="39"/>
  <c r="I28" i="40"/>
  <c r="I29" i="40"/>
  <c r="G29" i="41"/>
  <c r="F30" i="41"/>
  <c r="F31" i="41"/>
  <c r="F29" i="41"/>
  <c r="G30" i="41"/>
  <c r="G31" i="41"/>
  <c r="G32" i="41"/>
  <c r="G33" i="41"/>
  <c r="G34" i="41"/>
  <c r="G35" i="41"/>
  <c r="G36" i="41"/>
  <c r="G37" i="41"/>
  <c r="G38"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4" i="41"/>
  <c r="G65" i="41"/>
  <c r="G28" i="78"/>
  <c r="G29" i="78"/>
  <c r="G30" i="78"/>
  <c r="G31" i="78"/>
  <c r="G32" i="78"/>
  <c r="G33" i="78"/>
  <c r="G34" i="78"/>
  <c r="G35" i="78"/>
  <c r="G36" i="78"/>
  <c r="G37" i="78"/>
  <c r="G38" i="78"/>
  <c r="G39" i="78"/>
  <c r="G40" i="78"/>
  <c r="G41" i="78"/>
  <c r="G42" i="78"/>
  <c r="G43" i="78"/>
  <c r="G44" i="78"/>
  <c r="G45" i="78"/>
  <c r="G46" i="78"/>
  <c r="G47" i="78"/>
  <c r="G48" i="78"/>
  <c r="G49" i="78"/>
  <c r="G50" i="78"/>
  <c r="G51" i="78"/>
  <c r="G52" i="78"/>
  <c r="G53" i="78"/>
  <c r="G54" i="78"/>
  <c r="G55" i="78"/>
  <c r="G56" i="78"/>
  <c r="G57" i="78"/>
  <c r="G58" i="78"/>
  <c r="G59" i="78"/>
  <c r="G60" i="78"/>
  <c r="G61" i="78"/>
  <c r="G62" i="78"/>
  <c r="G63" i="78"/>
  <c r="G25" i="78"/>
  <c r="G26" i="78"/>
  <c r="G27" i="78"/>
  <c r="G64" i="78"/>
  <c r="H64" i="78"/>
  <c r="D20" i="78"/>
  <c r="G27" i="32"/>
  <c r="G28" i="32"/>
  <c r="G29" i="32"/>
  <c r="G30" i="32"/>
  <c r="G31" i="32"/>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D21" i="32"/>
  <c r="G87" i="76"/>
  <c r="F32" i="40"/>
  <c r="F38" i="38"/>
  <c r="I25" i="77"/>
  <c r="I26" i="77"/>
  <c r="F27" i="77"/>
  <c r="G28" i="77"/>
  <c r="G29" i="77"/>
  <c r="G30" i="77"/>
  <c r="G31" i="77"/>
  <c r="G32" i="77"/>
  <c r="G33" i="77"/>
  <c r="G34" i="77"/>
  <c r="G35" i="77"/>
  <c r="G36" i="77"/>
  <c r="G37" i="77"/>
  <c r="G38" i="77"/>
  <c r="G39" i="77"/>
  <c r="G40" i="77"/>
  <c r="G41" i="77"/>
  <c r="G42" i="77"/>
  <c r="G43" i="77"/>
  <c r="G44" i="77"/>
  <c r="G45" i="77"/>
  <c r="G46" i="77"/>
  <c r="G47" i="77"/>
  <c r="G48" i="77"/>
  <c r="G49" i="77"/>
  <c r="G50" i="77"/>
  <c r="G51" i="77"/>
  <c r="G52" i="77"/>
  <c r="G53" i="77"/>
  <c r="G54" i="77"/>
  <c r="G55" i="77"/>
  <c r="G56" i="77"/>
  <c r="G57" i="77"/>
  <c r="G58" i="77"/>
  <c r="G59" i="77"/>
  <c r="G60" i="77"/>
  <c r="G61" i="77"/>
  <c r="G62" i="77"/>
  <c r="G63" i="77"/>
  <c r="G64" i="77"/>
  <c r="G65" i="77"/>
  <c r="G66" i="77"/>
  <c r="G67" i="77"/>
  <c r="G68" i="77"/>
  <c r="G69" i="77"/>
  <c r="G70" i="77"/>
  <c r="G71" i="77"/>
  <c r="G72" i="77"/>
  <c r="G73" i="77"/>
  <c r="G74" i="77"/>
  <c r="G75" i="77"/>
  <c r="G76" i="77"/>
  <c r="G77" i="77"/>
  <c r="G78" i="77"/>
  <c r="G79" i="77"/>
  <c r="G80" i="77"/>
  <c r="G81" i="77"/>
  <c r="G82" i="77"/>
  <c r="G83" i="77"/>
  <c r="G84" i="77"/>
  <c r="G85" i="77"/>
  <c r="G86" i="77"/>
  <c r="F27" i="76"/>
  <c r="D22" i="31"/>
  <c r="I25" i="31"/>
  <c r="I26" i="31"/>
  <c r="F24" i="80"/>
  <c r="H24" i="80"/>
  <c r="I24" i="80"/>
  <c r="H28" i="81"/>
  <c r="I28" i="81"/>
  <c r="H38" i="38"/>
  <c r="H29" i="81"/>
  <c r="H26" i="38"/>
  <c r="G65" i="34"/>
  <c r="G66" i="34"/>
  <c r="F31" i="79"/>
  <c r="F32" i="79"/>
  <c r="F33" i="79"/>
  <c r="F34" i="79"/>
  <c r="D15" i="74"/>
  <c r="D16" i="74"/>
  <c r="G68" i="79"/>
  <c r="I26" i="79"/>
  <c r="I27" i="79"/>
  <c r="H72" i="80"/>
  <c r="H31" i="40"/>
  <c r="G73" i="80"/>
  <c r="F72" i="39"/>
  <c r="H72" i="39"/>
  <c r="H29" i="79"/>
  <c r="F67" i="79"/>
  <c r="H67" i="79"/>
  <c r="H38" i="81"/>
  <c r="G13" i="74"/>
  <c r="H13" i="74"/>
  <c r="D21" i="33"/>
  <c r="G27" i="33"/>
  <c r="G75" i="33"/>
  <c r="D18" i="75"/>
  <c r="D19" i="75"/>
  <c r="G26" i="75"/>
  <c r="G27" i="75"/>
  <c r="F28" i="34"/>
  <c r="H28" i="34"/>
  <c r="H39" i="81"/>
  <c r="F34" i="80"/>
  <c r="F35" i="80"/>
  <c r="F36" i="80"/>
  <c r="I26" i="34"/>
  <c r="I27" i="34"/>
  <c r="H73" i="40"/>
  <c r="G74" i="40"/>
  <c r="G29" i="39"/>
  <c r="G73" i="39"/>
  <c r="H28" i="79"/>
  <c r="F30" i="79"/>
  <c r="H30" i="79"/>
  <c r="I27" i="39"/>
  <c r="I28" i="39"/>
  <c r="G65" i="78"/>
  <c r="H29" i="41"/>
  <c r="I29" i="41"/>
  <c r="H30" i="39"/>
  <c r="H30" i="41"/>
  <c r="F25" i="80"/>
  <c r="F26" i="80"/>
  <c r="G66" i="41"/>
  <c r="G67" i="41"/>
  <c r="G87" i="77"/>
  <c r="F28" i="78"/>
  <c r="I23" i="78"/>
  <c r="I24" i="78"/>
  <c r="F25" i="78"/>
  <c r="F45" i="81"/>
  <c r="H27" i="77"/>
  <c r="I27" i="77"/>
  <c r="F28" i="77"/>
  <c r="F33" i="40"/>
  <c r="H32" i="40"/>
  <c r="G41" i="81"/>
  <c r="H40" i="81"/>
  <c r="G26" i="32"/>
  <c r="G76" i="32"/>
  <c r="H27" i="76"/>
  <c r="I27" i="76"/>
  <c r="F28" i="76"/>
  <c r="F32" i="41"/>
  <c r="H31" i="41"/>
  <c r="F39" i="38"/>
  <c r="M39" i="38"/>
  <c r="H30" i="81"/>
  <c r="F31" i="81"/>
  <c r="H29" i="34"/>
  <c r="F30" i="34"/>
  <c r="F75" i="32"/>
  <c r="H75" i="32"/>
  <c r="I24" i="32"/>
  <c r="I25" i="32"/>
  <c r="F27" i="32"/>
  <c r="F27" i="31"/>
  <c r="F39" i="31"/>
  <c r="H39" i="31"/>
  <c r="H31" i="79"/>
  <c r="H33" i="79"/>
  <c r="H32" i="79"/>
  <c r="I29" i="81"/>
  <c r="I30" i="81"/>
  <c r="H39" i="38"/>
  <c r="I26" i="38"/>
  <c r="I27" i="38"/>
  <c r="I28" i="38"/>
  <c r="I29" i="38"/>
  <c r="I30" i="38"/>
  <c r="I31" i="38"/>
  <c r="I32" i="38"/>
  <c r="I33" i="38"/>
  <c r="I34" i="38"/>
  <c r="I35" i="38"/>
  <c r="I36" i="38"/>
  <c r="I37" i="38"/>
  <c r="I38" i="38"/>
  <c r="D17" i="74"/>
  <c r="F22" i="74"/>
  <c r="G22" i="74"/>
  <c r="G23" i="74"/>
  <c r="I28" i="79"/>
  <c r="I29" i="79"/>
  <c r="I30" i="79"/>
  <c r="I31" i="79"/>
  <c r="F27" i="33"/>
  <c r="F75" i="33"/>
  <c r="H75" i="33"/>
  <c r="I24" i="33"/>
  <c r="I25" i="33"/>
  <c r="G28" i="33"/>
  <c r="G29" i="33"/>
  <c r="G30" i="33"/>
  <c r="G31" i="33"/>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D21" i="75"/>
  <c r="H35" i="80"/>
  <c r="H34" i="80"/>
  <c r="F31" i="39"/>
  <c r="F32" i="39"/>
  <c r="I30" i="41"/>
  <c r="I31" i="41"/>
  <c r="H25" i="80"/>
  <c r="I25" i="80"/>
  <c r="F29" i="78"/>
  <c r="H28" i="78"/>
  <c r="H25" i="78"/>
  <c r="I25" i="78"/>
  <c r="F26" i="78"/>
  <c r="H30" i="34"/>
  <c r="F31" i="34"/>
  <c r="F46" i="81"/>
  <c r="H31" i="81"/>
  <c r="F32" i="81"/>
  <c r="H34" i="79"/>
  <c r="F35" i="79"/>
  <c r="F37" i="80"/>
  <c r="H36" i="80"/>
  <c r="F29" i="76"/>
  <c r="H28" i="76"/>
  <c r="I28" i="76"/>
  <c r="H28" i="77"/>
  <c r="I28" i="77"/>
  <c r="F29" i="77"/>
  <c r="H27" i="32"/>
  <c r="F28" i="32"/>
  <c r="H33" i="40"/>
  <c r="F34" i="40"/>
  <c r="H26" i="80"/>
  <c r="F27" i="80"/>
  <c r="G42" i="81"/>
  <c r="H41" i="81"/>
  <c r="H32" i="41"/>
  <c r="F33" i="41"/>
  <c r="I28" i="34"/>
  <c r="I29" i="34"/>
  <c r="F40" i="31"/>
  <c r="M40" i="31"/>
  <c r="H27" i="31"/>
  <c r="I27" i="31"/>
  <c r="I28" i="31"/>
  <c r="I29" i="31"/>
  <c r="I30" i="31"/>
  <c r="I31" i="31"/>
  <c r="I32" i="31"/>
  <c r="I33" i="31"/>
  <c r="I34" i="31"/>
  <c r="I35" i="31"/>
  <c r="I36" i="31"/>
  <c r="I37" i="31"/>
  <c r="I38" i="31"/>
  <c r="I39" i="31"/>
  <c r="I32" i="79"/>
  <c r="I33" i="79"/>
  <c r="I20" i="74"/>
  <c r="I21" i="74"/>
  <c r="G26" i="33"/>
  <c r="G76" i="33"/>
  <c r="F28" i="33"/>
  <c r="H27" i="33"/>
  <c r="H22" i="74"/>
  <c r="H23" i="74"/>
  <c r="F23" i="74"/>
  <c r="M23" i="74"/>
  <c r="I24" i="75"/>
  <c r="I25" i="75"/>
  <c r="F26" i="75"/>
  <c r="I31" i="81"/>
  <c r="H31" i="39"/>
  <c r="I32" i="41"/>
  <c r="I34" i="79"/>
  <c r="H40" i="31"/>
  <c r="I30" i="34"/>
  <c r="F27" i="78"/>
  <c r="H27" i="78"/>
  <c r="H26" i="78"/>
  <c r="I26" i="78"/>
  <c r="H29" i="78"/>
  <c r="F30" i="78"/>
  <c r="F30" i="76"/>
  <c r="H29" i="76"/>
  <c r="H35" i="79"/>
  <c r="F36" i="79"/>
  <c r="H32" i="81"/>
  <c r="F33" i="81"/>
  <c r="F47" i="81"/>
  <c r="F28" i="80"/>
  <c r="H27" i="80"/>
  <c r="F35" i="40"/>
  <c r="H34" i="40"/>
  <c r="H29" i="77"/>
  <c r="I29" i="77"/>
  <c r="F30" i="77"/>
  <c r="H31" i="34"/>
  <c r="F32" i="34"/>
  <c r="F34" i="41"/>
  <c r="H33" i="41"/>
  <c r="I33" i="41"/>
  <c r="F33" i="39"/>
  <c r="H32" i="39"/>
  <c r="G43" i="81"/>
  <c r="H42" i="81"/>
  <c r="H28" i="32"/>
  <c r="F29" i="32"/>
  <c r="F38" i="80"/>
  <c r="H37" i="80"/>
  <c r="I26" i="80"/>
  <c r="I22" i="74"/>
  <c r="F27" i="75"/>
  <c r="M27" i="75"/>
  <c r="H26" i="75"/>
  <c r="H27" i="75"/>
  <c r="F29" i="33"/>
  <c r="H28" i="33"/>
  <c r="I35" i="79"/>
  <c r="I31" i="34"/>
  <c r="I27" i="78"/>
  <c r="I28" i="78"/>
  <c r="I29" i="78"/>
  <c r="F31" i="78"/>
  <c r="H30" i="78"/>
  <c r="G44" i="81"/>
  <c r="H43" i="81"/>
  <c r="H33" i="39"/>
  <c r="F34" i="39"/>
  <c r="H35" i="40"/>
  <c r="F36" i="40"/>
  <c r="H29" i="32"/>
  <c r="F30" i="32"/>
  <c r="H32" i="34"/>
  <c r="F33" i="34"/>
  <c r="H30" i="77"/>
  <c r="F31" i="77"/>
  <c r="F48" i="81"/>
  <c r="F37" i="79"/>
  <c r="H36" i="79"/>
  <c r="H30" i="76"/>
  <c r="F31" i="76"/>
  <c r="H28" i="80"/>
  <c r="F29" i="80"/>
  <c r="I27" i="80"/>
  <c r="H38" i="80"/>
  <c r="F39" i="80"/>
  <c r="F35" i="41"/>
  <c r="H34" i="41"/>
  <c r="I34" i="41"/>
  <c r="I32" i="81"/>
  <c r="I29" i="76"/>
  <c r="H33" i="81"/>
  <c r="F34" i="81"/>
  <c r="I26" i="75"/>
  <c r="F30" i="33"/>
  <c r="H29" i="33"/>
  <c r="I30" i="78"/>
  <c r="I36" i="79"/>
  <c r="I28" i="80"/>
  <c r="H31" i="78"/>
  <c r="F32" i="78"/>
  <c r="I33" i="81"/>
  <c r="H39" i="80"/>
  <c r="F40" i="80"/>
  <c r="F30" i="80"/>
  <c r="H29" i="80"/>
  <c r="H31" i="76"/>
  <c r="F32" i="76"/>
  <c r="H37" i="79"/>
  <c r="F38" i="79"/>
  <c r="H34" i="81"/>
  <c r="F35" i="81"/>
  <c r="F49" i="81"/>
  <c r="I30" i="77"/>
  <c r="I32" i="34"/>
  <c r="F31" i="32"/>
  <c r="H30" i="32"/>
  <c r="H34" i="39"/>
  <c r="F35" i="39"/>
  <c r="G45" i="81"/>
  <c r="H44" i="81"/>
  <c r="I30" i="76"/>
  <c r="H35" i="41"/>
  <c r="I35" i="41"/>
  <c r="F36" i="41"/>
  <c r="H31" i="77"/>
  <c r="F32" i="77"/>
  <c r="F34" i="34"/>
  <c r="H33" i="34"/>
  <c r="F37" i="40"/>
  <c r="H36" i="40"/>
  <c r="F31" i="33"/>
  <c r="H30" i="33"/>
  <c r="I31" i="78"/>
  <c r="I29" i="80"/>
  <c r="I37" i="79"/>
  <c r="I31" i="76"/>
  <c r="I31" i="77"/>
  <c r="I34" i="81"/>
  <c r="H32" i="78"/>
  <c r="F33" i="78"/>
  <c r="I33" i="34"/>
  <c r="H36" i="41"/>
  <c r="I36" i="41"/>
  <c r="F37" i="41"/>
  <c r="G46" i="81"/>
  <c r="H45" i="81"/>
  <c r="F33" i="76"/>
  <c r="H32" i="76"/>
  <c r="F38" i="40"/>
  <c r="H37" i="40"/>
  <c r="H32" i="77"/>
  <c r="F33" i="77"/>
  <c r="H35" i="39"/>
  <c r="F36" i="39"/>
  <c r="H31" i="32"/>
  <c r="F32" i="32"/>
  <c r="F50" i="81"/>
  <c r="H35" i="81"/>
  <c r="F36" i="81"/>
  <c r="H38" i="79"/>
  <c r="F39" i="79"/>
  <c r="H34" i="34"/>
  <c r="F35" i="34"/>
  <c r="F31" i="80"/>
  <c r="H30" i="80"/>
  <c r="H40" i="80"/>
  <c r="F41" i="80"/>
  <c r="I30" i="80"/>
  <c r="F32" i="33"/>
  <c r="H31" i="33"/>
  <c r="I38" i="79"/>
  <c r="I32" i="76"/>
  <c r="I35" i="81"/>
  <c r="I32" i="78"/>
  <c r="I32" i="77"/>
  <c r="I34" i="34"/>
  <c r="F34" i="78"/>
  <c r="H33" i="78"/>
  <c r="H36" i="81"/>
  <c r="F37" i="81"/>
  <c r="H37" i="81"/>
  <c r="G47" i="81"/>
  <c r="H46" i="81"/>
  <c r="H36" i="39"/>
  <c r="F37" i="39"/>
  <c r="F32" i="80"/>
  <c r="H31" i="80"/>
  <c r="H35" i="34"/>
  <c r="F36" i="34"/>
  <c r="F40" i="79"/>
  <c r="H39" i="79"/>
  <c r="H33" i="76"/>
  <c r="F34" i="76"/>
  <c r="H37" i="41"/>
  <c r="I37" i="41"/>
  <c r="F38" i="41"/>
  <c r="H41" i="80"/>
  <c r="F42" i="80"/>
  <c r="F51" i="81"/>
  <c r="F33" i="32"/>
  <c r="H32" i="32"/>
  <c r="H33" i="77"/>
  <c r="F34" i="77"/>
  <c r="H38" i="40"/>
  <c r="F39" i="40"/>
  <c r="I31" i="80"/>
  <c r="H32" i="33"/>
  <c r="F33" i="33"/>
  <c r="I33" i="76"/>
  <c r="I35" i="34"/>
  <c r="I33" i="78"/>
  <c r="I33" i="77"/>
  <c r="I39" i="79"/>
  <c r="I36" i="81"/>
  <c r="I37" i="81"/>
  <c r="I38" i="81"/>
  <c r="I39" i="81"/>
  <c r="I40" i="81"/>
  <c r="I41" i="81"/>
  <c r="I42" i="81"/>
  <c r="I43" i="81"/>
  <c r="I44" i="81"/>
  <c r="I45" i="81"/>
  <c r="I46" i="81"/>
  <c r="H34" i="78"/>
  <c r="F35" i="78"/>
  <c r="H33" i="32"/>
  <c r="F34" i="32"/>
  <c r="F35" i="76"/>
  <c r="H34" i="76"/>
  <c r="F37" i="34"/>
  <c r="H36" i="34"/>
  <c r="F33" i="80"/>
  <c r="H33" i="80"/>
  <c r="H32" i="80"/>
  <c r="H34" i="77"/>
  <c r="F35" i="77"/>
  <c r="F52" i="81"/>
  <c r="H39" i="40"/>
  <c r="F40" i="40"/>
  <c r="H38" i="41"/>
  <c r="I38" i="41"/>
  <c r="F39" i="41"/>
  <c r="G48" i="81"/>
  <c r="H47" i="81"/>
  <c r="H42" i="80"/>
  <c r="F43" i="80"/>
  <c r="H40" i="79"/>
  <c r="F41" i="79"/>
  <c r="H37" i="39"/>
  <c r="F38" i="39"/>
  <c r="I32" i="80"/>
  <c r="I33" i="80"/>
  <c r="I34" i="80"/>
  <c r="I35" i="80"/>
  <c r="I36" i="80"/>
  <c r="I37" i="80"/>
  <c r="I38" i="80"/>
  <c r="I39" i="80"/>
  <c r="I40" i="80"/>
  <c r="I41" i="80"/>
  <c r="I42" i="80"/>
  <c r="H33" i="33"/>
  <c r="F34" i="33"/>
  <c r="I36" i="34"/>
  <c r="I34" i="78"/>
  <c r="I34" i="76"/>
  <c r="I34" i="77"/>
  <c r="I40" i="79"/>
  <c r="I47" i="81"/>
  <c r="H35" i="78"/>
  <c r="F36" i="78"/>
  <c r="F40" i="41"/>
  <c r="H39" i="41"/>
  <c r="I39" i="41"/>
  <c r="F36" i="77"/>
  <c r="H35" i="77"/>
  <c r="F41" i="40"/>
  <c r="H40" i="40"/>
  <c r="F38" i="34"/>
  <c r="H37" i="34"/>
  <c r="H41" i="79"/>
  <c r="F42" i="79"/>
  <c r="F39" i="39"/>
  <c r="H38" i="39"/>
  <c r="F44" i="80"/>
  <c r="H43" i="80"/>
  <c r="F36" i="76"/>
  <c r="H35" i="76"/>
  <c r="G49" i="81"/>
  <c r="H48" i="81"/>
  <c r="F53" i="81"/>
  <c r="H34" i="32"/>
  <c r="F35" i="32"/>
  <c r="I37" i="34"/>
  <c r="H34" i="33"/>
  <c r="F35" i="33"/>
  <c r="I35" i="78"/>
  <c r="I35" i="76"/>
  <c r="I35" i="77"/>
  <c r="I41" i="79"/>
  <c r="I48" i="81"/>
  <c r="F37" i="78"/>
  <c r="H36" i="78"/>
  <c r="I43" i="80"/>
  <c r="F43" i="79"/>
  <c r="H42" i="79"/>
  <c r="G50" i="81"/>
  <c r="H49" i="81"/>
  <c r="F42" i="40"/>
  <c r="H41" i="40"/>
  <c r="F41" i="41"/>
  <c r="H40" i="41"/>
  <c r="I40" i="41"/>
  <c r="F36" i="32"/>
  <c r="H35" i="32"/>
  <c r="F54" i="81"/>
  <c r="F45" i="80"/>
  <c r="H44" i="80"/>
  <c r="H36" i="76"/>
  <c r="F37" i="76"/>
  <c r="H39" i="39"/>
  <c r="F40" i="39"/>
  <c r="H38" i="34"/>
  <c r="I38" i="34"/>
  <c r="F39" i="34"/>
  <c r="F37" i="77"/>
  <c r="H36" i="77"/>
  <c r="I36" i="77"/>
  <c r="F36" i="33"/>
  <c r="H35" i="33"/>
  <c r="I36" i="78"/>
  <c r="I36" i="76"/>
  <c r="I49" i="81"/>
  <c r="I42" i="79"/>
  <c r="I44" i="80"/>
  <c r="F38" i="78"/>
  <c r="H37" i="78"/>
  <c r="H40" i="39"/>
  <c r="F41" i="39"/>
  <c r="F38" i="77"/>
  <c r="H37" i="77"/>
  <c r="H45" i="80"/>
  <c r="F46" i="80"/>
  <c r="F42" i="41"/>
  <c r="H41" i="41"/>
  <c r="I41" i="41"/>
  <c r="G51" i="81"/>
  <c r="H50" i="81"/>
  <c r="F44" i="79"/>
  <c r="H43" i="79"/>
  <c r="H39" i="34"/>
  <c r="I39" i="34"/>
  <c r="F40" i="34"/>
  <c r="H37" i="76"/>
  <c r="F38" i="76"/>
  <c r="F55" i="81"/>
  <c r="F37" i="32"/>
  <c r="H36" i="32"/>
  <c r="F43" i="40"/>
  <c r="H42" i="40"/>
  <c r="I50" i="81"/>
  <c r="I37" i="77"/>
  <c r="H36" i="33"/>
  <c r="F37" i="33"/>
  <c r="I43" i="79"/>
  <c r="I37" i="78"/>
  <c r="I37" i="76"/>
  <c r="I45" i="80"/>
  <c r="F39" i="78"/>
  <c r="H38" i="78"/>
  <c r="H38" i="76"/>
  <c r="F39" i="76"/>
  <c r="F47" i="80"/>
  <c r="H46" i="80"/>
  <c r="F38" i="32"/>
  <c r="H37" i="32"/>
  <c r="G52" i="81"/>
  <c r="H51" i="81"/>
  <c r="F41" i="34"/>
  <c r="H40" i="34"/>
  <c r="I40" i="34"/>
  <c r="H41" i="39"/>
  <c r="F42" i="39"/>
  <c r="F44" i="40"/>
  <c r="H43" i="40"/>
  <c r="F56" i="81"/>
  <c r="F45" i="79"/>
  <c r="H44" i="79"/>
  <c r="H42" i="41"/>
  <c r="I42" i="41"/>
  <c r="F43" i="41"/>
  <c r="H38" i="77"/>
  <c r="I38" i="77"/>
  <c r="F39" i="77"/>
  <c r="I51" i="81"/>
  <c r="H37" i="33"/>
  <c r="F38" i="33"/>
  <c r="I44" i="79"/>
  <c r="I38" i="76"/>
  <c r="I38" i="78"/>
  <c r="I46" i="80"/>
  <c r="F40" i="78"/>
  <c r="H39" i="78"/>
  <c r="F44" i="41"/>
  <c r="H43" i="41"/>
  <c r="I43" i="41"/>
  <c r="H42" i="39"/>
  <c r="F43" i="39"/>
  <c r="F48" i="80"/>
  <c r="H47" i="80"/>
  <c r="H39" i="77"/>
  <c r="I39" i="77"/>
  <c r="F40" i="77"/>
  <c r="F40" i="76"/>
  <c r="H39" i="76"/>
  <c r="F57" i="81"/>
  <c r="F46" i="79"/>
  <c r="H45" i="79"/>
  <c r="F45" i="40"/>
  <c r="H44" i="40"/>
  <c r="H41" i="34"/>
  <c r="I41" i="34"/>
  <c r="F42" i="34"/>
  <c r="G53" i="81"/>
  <c r="H52" i="81"/>
  <c r="F39" i="32"/>
  <c r="H38" i="32"/>
  <c r="I52" i="81"/>
  <c r="I45" i="79"/>
  <c r="I39" i="76"/>
  <c r="H38" i="33"/>
  <c r="F39" i="33"/>
  <c r="I39" i="78"/>
  <c r="I47" i="80"/>
  <c r="H40" i="78"/>
  <c r="F41" i="78"/>
  <c r="F58" i="81"/>
  <c r="F49" i="80"/>
  <c r="H48" i="80"/>
  <c r="G54" i="81"/>
  <c r="H53" i="81"/>
  <c r="F43" i="34"/>
  <c r="H42" i="34"/>
  <c r="I42" i="34"/>
  <c r="F45" i="41"/>
  <c r="H44" i="41"/>
  <c r="I44" i="41"/>
  <c r="F41" i="77"/>
  <c r="H40" i="77"/>
  <c r="I40" i="77"/>
  <c r="F46" i="40"/>
  <c r="H45" i="40"/>
  <c r="H39" i="32"/>
  <c r="F40" i="32"/>
  <c r="F47" i="79"/>
  <c r="H46" i="79"/>
  <c r="I46" i="79"/>
  <c r="F41" i="76"/>
  <c r="H40" i="76"/>
  <c r="I40" i="76"/>
  <c r="F44" i="39"/>
  <c r="H43" i="39"/>
  <c r="I53" i="81"/>
  <c r="H39" i="33"/>
  <c r="F40" i="33"/>
  <c r="I40" i="78"/>
  <c r="I48" i="80"/>
  <c r="H41" i="78"/>
  <c r="F42" i="78"/>
  <c r="F44" i="34"/>
  <c r="H43" i="34"/>
  <c r="I43" i="34"/>
  <c r="F47" i="40"/>
  <c r="H46" i="40"/>
  <c r="F46" i="41"/>
  <c r="H45" i="41"/>
  <c r="I45" i="41"/>
  <c r="G55" i="81"/>
  <c r="H54" i="81"/>
  <c r="H49" i="80"/>
  <c r="F50" i="80"/>
  <c r="F48" i="79"/>
  <c r="H47" i="79"/>
  <c r="I47" i="79"/>
  <c r="F41" i="32"/>
  <c r="H40" i="32"/>
  <c r="H44" i="39"/>
  <c r="F45" i="39"/>
  <c r="H41" i="76"/>
  <c r="I41" i="76"/>
  <c r="F42" i="76"/>
  <c r="F42" i="77"/>
  <c r="H41" i="77"/>
  <c r="I41" i="77"/>
  <c r="F59" i="81"/>
  <c r="I54" i="81"/>
  <c r="H40" i="33"/>
  <c r="F41" i="33"/>
  <c r="I41" i="78"/>
  <c r="I49" i="80"/>
  <c r="F43" i="78"/>
  <c r="H42" i="78"/>
  <c r="H44" i="34"/>
  <c r="I44" i="34"/>
  <c r="F45" i="34"/>
  <c r="F49" i="79"/>
  <c r="H48" i="79"/>
  <c r="I48" i="79"/>
  <c r="F46" i="39"/>
  <c r="H45" i="39"/>
  <c r="F47" i="41"/>
  <c r="H46" i="41"/>
  <c r="I46" i="41"/>
  <c r="H42" i="77"/>
  <c r="I42" i="77"/>
  <c r="F43" i="77"/>
  <c r="F43" i="76"/>
  <c r="H42" i="76"/>
  <c r="I42" i="76"/>
  <c r="F48" i="40"/>
  <c r="H47" i="40"/>
  <c r="G56" i="81"/>
  <c r="H55" i="81"/>
  <c r="F51" i="80"/>
  <c r="H50" i="80"/>
  <c r="F60" i="81"/>
  <c r="H41" i="32"/>
  <c r="F42" i="32"/>
  <c r="I55" i="81"/>
  <c r="I42" i="78"/>
  <c r="F42" i="33"/>
  <c r="H41" i="33"/>
  <c r="I50" i="80"/>
  <c r="H43" i="78"/>
  <c r="I43" i="78"/>
  <c r="F44" i="78"/>
  <c r="H43" i="77"/>
  <c r="I43" i="77"/>
  <c r="F44" i="77"/>
  <c r="H49" i="79"/>
  <c r="I49" i="79"/>
  <c r="F50" i="79"/>
  <c r="F43" i="32"/>
  <c r="H42" i="32"/>
  <c r="H51" i="80"/>
  <c r="F52" i="80"/>
  <c r="H48" i="40"/>
  <c r="F49" i="40"/>
  <c r="H46" i="39"/>
  <c r="F47" i="39"/>
  <c r="F46" i="34"/>
  <c r="H45" i="34"/>
  <c r="I45" i="34"/>
  <c r="F61" i="81"/>
  <c r="G57" i="81"/>
  <c r="H56" i="81"/>
  <c r="H43" i="76"/>
  <c r="I43" i="76"/>
  <c r="F44" i="76"/>
  <c r="H47" i="41"/>
  <c r="I47" i="41"/>
  <c r="F48" i="41"/>
  <c r="I56" i="81"/>
  <c r="F43" i="33"/>
  <c r="H42" i="33"/>
  <c r="I51" i="80"/>
  <c r="F45" i="78"/>
  <c r="H44" i="78"/>
  <c r="I44" i="78"/>
  <c r="H44" i="76"/>
  <c r="I44" i="76"/>
  <c r="F45" i="76"/>
  <c r="H49" i="40"/>
  <c r="F50" i="40"/>
  <c r="H50" i="79"/>
  <c r="I50" i="79"/>
  <c r="F51" i="79"/>
  <c r="F62" i="81"/>
  <c r="F47" i="34"/>
  <c r="H46" i="34"/>
  <c r="I46" i="34"/>
  <c r="F49" i="41"/>
  <c r="H48" i="41"/>
  <c r="I48" i="41"/>
  <c r="H47" i="39"/>
  <c r="F48" i="39"/>
  <c r="F44" i="32"/>
  <c r="H43" i="32"/>
  <c r="F45" i="77"/>
  <c r="H44" i="77"/>
  <c r="I44" i="77"/>
  <c r="G58" i="81"/>
  <c r="H57" i="81"/>
  <c r="I57" i="81"/>
  <c r="H52" i="80"/>
  <c r="F53" i="80"/>
  <c r="I52" i="80"/>
  <c r="H43" i="33"/>
  <c r="F44" i="33"/>
  <c r="H45" i="78"/>
  <c r="I45" i="78"/>
  <c r="F46" i="78"/>
  <c r="H44" i="32"/>
  <c r="F45" i="32"/>
  <c r="H50" i="40"/>
  <c r="F51" i="40"/>
  <c r="F54" i="80"/>
  <c r="H53" i="80"/>
  <c r="F46" i="77"/>
  <c r="H45" i="77"/>
  <c r="I45" i="77"/>
  <c r="H49" i="41"/>
  <c r="I49" i="41"/>
  <c r="F50" i="41"/>
  <c r="H47" i="34"/>
  <c r="I47" i="34"/>
  <c r="F48" i="34"/>
  <c r="H51" i="79"/>
  <c r="I51" i="79"/>
  <c r="F52" i="79"/>
  <c r="F46" i="76"/>
  <c r="H45" i="76"/>
  <c r="I45" i="76"/>
  <c r="G59" i="81"/>
  <c r="H58" i="81"/>
  <c r="I58" i="81"/>
  <c r="H48" i="39"/>
  <c r="F49" i="39"/>
  <c r="F63" i="81"/>
  <c r="I53" i="80"/>
  <c r="F45" i="33"/>
  <c r="H44" i="33"/>
  <c r="F47" i="78"/>
  <c r="H46" i="78"/>
  <c r="I46" i="78"/>
  <c r="F50" i="39"/>
  <c r="H49" i="39"/>
  <c r="H54" i="80"/>
  <c r="F55" i="80"/>
  <c r="F49" i="34"/>
  <c r="H48" i="34"/>
  <c r="I48" i="34"/>
  <c r="F46" i="32"/>
  <c r="H45" i="32"/>
  <c r="H46" i="76"/>
  <c r="I46" i="76"/>
  <c r="F47" i="76"/>
  <c r="F47" i="77"/>
  <c r="H46" i="77"/>
  <c r="I46" i="77"/>
  <c r="H51" i="40"/>
  <c r="F52" i="40"/>
  <c r="F64" i="81"/>
  <c r="G60" i="81"/>
  <c r="H59" i="81"/>
  <c r="I59" i="81"/>
  <c r="F53" i="79"/>
  <c r="H52" i="79"/>
  <c r="I52" i="79"/>
  <c r="F51" i="41"/>
  <c r="H50" i="41"/>
  <c r="I50" i="41"/>
  <c r="I54" i="80"/>
  <c r="H45" i="33"/>
  <c r="F46" i="33"/>
  <c r="F48" i="78"/>
  <c r="H47" i="78"/>
  <c r="I47" i="78"/>
  <c r="H52" i="40"/>
  <c r="F53" i="40"/>
  <c r="F48" i="76"/>
  <c r="H47" i="76"/>
  <c r="I47" i="76"/>
  <c r="H49" i="34"/>
  <c r="I49" i="34"/>
  <c r="F50" i="34"/>
  <c r="H51" i="41"/>
  <c r="I51" i="41"/>
  <c r="F52" i="41"/>
  <c r="G61" i="81"/>
  <c r="H60" i="81"/>
  <c r="I60" i="81"/>
  <c r="F56" i="80"/>
  <c r="H55" i="80"/>
  <c r="I55" i="80"/>
  <c r="F51" i="39"/>
  <c r="H50" i="39"/>
  <c r="F54" i="79"/>
  <c r="H53" i="79"/>
  <c r="I53" i="79"/>
  <c r="F65" i="81"/>
  <c r="H47" i="77"/>
  <c r="I47" i="77"/>
  <c r="F48" i="77"/>
  <c r="H46" i="32"/>
  <c r="F47" i="32"/>
  <c r="F47" i="33"/>
  <c r="H46" i="33"/>
  <c r="F49" i="78"/>
  <c r="H48" i="78"/>
  <c r="I48" i="78"/>
  <c r="F49" i="77"/>
  <c r="H48" i="77"/>
  <c r="I48" i="77"/>
  <c r="F57" i="80"/>
  <c r="H56" i="80"/>
  <c r="I56" i="80"/>
  <c r="G62" i="81"/>
  <c r="H61" i="81"/>
  <c r="I61" i="81"/>
  <c r="H54" i="79"/>
  <c r="I54" i="79"/>
  <c r="F55" i="79"/>
  <c r="H52" i="41"/>
  <c r="I52" i="41"/>
  <c r="F53" i="41"/>
  <c r="H47" i="32"/>
  <c r="F48" i="32"/>
  <c r="H51" i="39"/>
  <c r="F52" i="39"/>
  <c r="H48" i="76"/>
  <c r="I48" i="76"/>
  <c r="F49" i="76"/>
  <c r="F66" i="81"/>
  <c r="F51" i="34"/>
  <c r="H50" i="34"/>
  <c r="I50" i="34"/>
  <c r="F54" i="40"/>
  <c r="H53" i="40"/>
  <c r="H47" i="33"/>
  <c r="F48" i="33"/>
  <c r="H49" i="78"/>
  <c r="I49" i="78"/>
  <c r="F50" i="78"/>
  <c r="F50" i="76"/>
  <c r="H49" i="76"/>
  <c r="I49" i="76"/>
  <c r="G63" i="81"/>
  <c r="H62" i="81"/>
  <c r="I62" i="81"/>
  <c r="F52" i="34"/>
  <c r="H51" i="34"/>
  <c r="I51" i="34"/>
  <c r="F54" i="41"/>
  <c r="H53" i="41"/>
  <c r="I53" i="41"/>
  <c r="F56" i="79"/>
  <c r="H55" i="79"/>
  <c r="I55" i="79"/>
  <c r="F50" i="77"/>
  <c r="H49" i="77"/>
  <c r="I49" i="77"/>
  <c r="F67" i="81"/>
  <c r="F53" i="39"/>
  <c r="H52" i="39"/>
  <c r="H48" i="32"/>
  <c r="F49" i="32"/>
  <c r="F58" i="80"/>
  <c r="H57" i="80"/>
  <c r="I57" i="80"/>
  <c r="H54" i="40"/>
  <c r="F55" i="40"/>
  <c r="H48" i="33"/>
  <c r="F49" i="33"/>
  <c r="H50" i="78"/>
  <c r="I50" i="78"/>
  <c r="F51" i="78"/>
  <c r="H56" i="79"/>
  <c r="I56" i="79"/>
  <c r="F57" i="79"/>
  <c r="H52" i="34"/>
  <c r="I52" i="34"/>
  <c r="F53" i="34"/>
  <c r="F59" i="80"/>
  <c r="H58" i="80"/>
  <c r="I58" i="80"/>
  <c r="F54" i="39"/>
  <c r="H53" i="39"/>
  <c r="H55" i="40"/>
  <c r="F56" i="40"/>
  <c r="F50" i="32"/>
  <c r="H49" i="32"/>
  <c r="F68" i="81"/>
  <c r="F51" i="77"/>
  <c r="H50" i="77"/>
  <c r="I50" i="77"/>
  <c r="F55" i="41"/>
  <c r="H54" i="41"/>
  <c r="I54" i="41"/>
  <c r="H50" i="76"/>
  <c r="I50" i="76"/>
  <c r="F51" i="76"/>
  <c r="G64" i="81"/>
  <c r="H63" i="81"/>
  <c r="I63" i="81"/>
  <c r="H49" i="33"/>
  <c r="F50" i="33"/>
  <c r="F52" i="78"/>
  <c r="H51" i="78"/>
  <c r="I51" i="78"/>
  <c r="F52" i="77"/>
  <c r="H51" i="77"/>
  <c r="I51" i="77"/>
  <c r="H50" i="32"/>
  <c r="F51" i="32"/>
  <c r="H57" i="79"/>
  <c r="I57" i="79"/>
  <c r="F58" i="79"/>
  <c r="G65" i="81"/>
  <c r="H64" i="81"/>
  <c r="I64" i="81"/>
  <c r="H56" i="40"/>
  <c r="F57" i="40"/>
  <c r="H59" i="80"/>
  <c r="I59" i="80"/>
  <c r="F60" i="80"/>
  <c r="H55" i="41"/>
  <c r="I55" i="41"/>
  <c r="F56" i="41"/>
  <c r="F69" i="81"/>
  <c r="F54" i="34"/>
  <c r="H53" i="34"/>
  <c r="I53" i="34"/>
  <c r="F52" i="76"/>
  <c r="H51" i="76"/>
  <c r="I51" i="76"/>
  <c r="F55" i="39"/>
  <c r="H54" i="39"/>
  <c r="F51" i="33"/>
  <c r="H50" i="33"/>
  <c r="F53" i="78"/>
  <c r="H52" i="78"/>
  <c r="I52" i="78"/>
  <c r="F57" i="41"/>
  <c r="H56" i="41"/>
  <c r="I56" i="41"/>
  <c r="H57" i="40"/>
  <c r="F58" i="40"/>
  <c r="F59" i="79"/>
  <c r="H58" i="79"/>
  <c r="I58" i="79"/>
  <c r="H54" i="34"/>
  <c r="I54" i="34"/>
  <c r="F55" i="34"/>
  <c r="F61" i="80"/>
  <c r="H60" i="80"/>
  <c r="I60" i="80"/>
  <c r="F53" i="77"/>
  <c r="H52" i="77"/>
  <c r="I52" i="77"/>
  <c r="F52" i="32"/>
  <c r="H51" i="32"/>
  <c r="F56" i="39"/>
  <c r="H55" i="39"/>
  <c r="H52" i="76"/>
  <c r="I52" i="76"/>
  <c r="F53" i="76"/>
  <c r="F70" i="81"/>
  <c r="G66" i="81"/>
  <c r="H65" i="81"/>
  <c r="I65" i="81"/>
  <c r="F52" i="33"/>
  <c r="H51" i="33"/>
  <c r="F54" i="78"/>
  <c r="H53" i="78"/>
  <c r="I53" i="78"/>
  <c r="H53" i="76"/>
  <c r="I53" i="76"/>
  <c r="F54" i="76"/>
  <c r="F53" i="32"/>
  <c r="H52" i="32"/>
  <c r="H61" i="80"/>
  <c r="I61" i="80"/>
  <c r="F62" i="80"/>
  <c r="F71" i="81"/>
  <c r="F56" i="34"/>
  <c r="H55" i="34"/>
  <c r="I55" i="34"/>
  <c r="F60" i="79"/>
  <c r="H59" i="79"/>
  <c r="I59" i="79"/>
  <c r="H57" i="41"/>
  <c r="I57" i="41"/>
  <c r="F58" i="41"/>
  <c r="G67" i="81"/>
  <c r="H66" i="81"/>
  <c r="I66" i="81"/>
  <c r="H56" i="39"/>
  <c r="F57" i="39"/>
  <c r="F54" i="77"/>
  <c r="H53" i="77"/>
  <c r="I53" i="77"/>
  <c r="H58" i="40"/>
  <c r="F59" i="40"/>
  <c r="F53" i="33"/>
  <c r="H52" i="33"/>
  <c r="H54" i="78"/>
  <c r="I54" i="78"/>
  <c r="F55" i="78"/>
  <c r="F59" i="41"/>
  <c r="H58" i="41"/>
  <c r="I58" i="41"/>
  <c r="F57" i="34"/>
  <c r="H56" i="34"/>
  <c r="I56" i="34"/>
  <c r="F54" i="32"/>
  <c r="H53" i="32"/>
  <c r="F60" i="40"/>
  <c r="H59" i="40"/>
  <c r="F72" i="81"/>
  <c r="F63" i="80"/>
  <c r="H62" i="80"/>
  <c r="I62" i="80"/>
  <c r="H57" i="39"/>
  <c r="F58" i="39"/>
  <c r="H54" i="77"/>
  <c r="I54" i="77"/>
  <c r="F55" i="77"/>
  <c r="G68" i="81"/>
  <c r="H67" i="81"/>
  <c r="I67" i="81"/>
  <c r="H60" i="79"/>
  <c r="I60" i="79"/>
  <c r="F61" i="79"/>
  <c r="F55" i="76"/>
  <c r="H54" i="76"/>
  <c r="I54" i="76"/>
  <c r="F54" i="33"/>
  <c r="H53" i="33"/>
  <c r="H55" i="78"/>
  <c r="I55" i="78"/>
  <c r="F56" i="78"/>
  <c r="F64" i="80"/>
  <c r="H63" i="80"/>
  <c r="I63" i="80"/>
  <c r="H60" i="40"/>
  <c r="F61" i="40"/>
  <c r="H54" i="32"/>
  <c r="F55" i="32"/>
  <c r="F60" i="41"/>
  <c r="H59" i="41"/>
  <c r="I59" i="41"/>
  <c r="F59" i="39"/>
  <c r="H58" i="39"/>
  <c r="F73" i="81"/>
  <c r="H57" i="34"/>
  <c r="I57" i="34"/>
  <c r="F58" i="34"/>
  <c r="F62" i="79"/>
  <c r="H61" i="79"/>
  <c r="I61" i="79"/>
  <c r="H55" i="77"/>
  <c r="I55" i="77"/>
  <c r="F56" i="77"/>
  <c r="H55" i="76"/>
  <c r="I55" i="76"/>
  <c r="F56" i="76"/>
  <c r="G69" i="81"/>
  <c r="H68" i="81"/>
  <c r="I68" i="81"/>
  <c r="F55" i="33"/>
  <c r="H54" i="33"/>
  <c r="H56" i="78"/>
  <c r="I56" i="78"/>
  <c r="F57" i="78"/>
  <c r="H58" i="34"/>
  <c r="I58" i="34"/>
  <c r="F59" i="34"/>
  <c r="H59" i="39"/>
  <c r="F60" i="39"/>
  <c r="F56" i="32"/>
  <c r="H55" i="32"/>
  <c r="H64" i="80"/>
  <c r="I64" i="80"/>
  <c r="F65" i="80"/>
  <c r="F57" i="76"/>
  <c r="H56" i="76"/>
  <c r="I56" i="76"/>
  <c r="H61" i="40"/>
  <c r="F62" i="40"/>
  <c r="F57" i="77"/>
  <c r="H56" i="77"/>
  <c r="I56" i="77"/>
  <c r="F74" i="81"/>
  <c r="G70" i="81"/>
  <c r="H69" i="81"/>
  <c r="I69" i="81"/>
  <c r="F63" i="79"/>
  <c r="H62" i="79"/>
  <c r="I62" i="79"/>
  <c r="H60" i="41"/>
  <c r="I60" i="41"/>
  <c r="F61" i="41"/>
  <c r="F56" i="33"/>
  <c r="H55" i="33"/>
  <c r="F58" i="78"/>
  <c r="H57" i="78"/>
  <c r="I57" i="78"/>
  <c r="H62" i="40"/>
  <c r="F63" i="40"/>
  <c r="H65" i="80"/>
  <c r="I65" i="80"/>
  <c r="F66" i="80"/>
  <c r="H56" i="32"/>
  <c r="F57" i="32"/>
  <c r="F64" i="79"/>
  <c r="H63" i="79"/>
  <c r="I63" i="79"/>
  <c r="G71" i="81"/>
  <c r="H70" i="81"/>
  <c r="I70" i="81"/>
  <c r="F75" i="81"/>
  <c r="H60" i="39"/>
  <c r="F61" i="39"/>
  <c r="F62" i="41"/>
  <c r="H61" i="41"/>
  <c r="I61" i="41"/>
  <c r="F58" i="77"/>
  <c r="H57" i="77"/>
  <c r="I57" i="77"/>
  <c r="F58" i="76"/>
  <c r="H57" i="76"/>
  <c r="I57" i="76"/>
  <c r="H59" i="34"/>
  <c r="I59" i="34"/>
  <c r="F60" i="34"/>
  <c r="F57" i="33"/>
  <c r="H56" i="33"/>
  <c r="H58" i="78"/>
  <c r="I58" i="78"/>
  <c r="F59" i="78"/>
  <c r="G72" i="81"/>
  <c r="H71" i="81"/>
  <c r="I71" i="81"/>
  <c r="F59" i="76"/>
  <c r="H58" i="76"/>
  <c r="I58" i="76"/>
  <c r="F61" i="34"/>
  <c r="H60" i="34"/>
  <c r="I60" i="34"/>
  <c r="H62" i="41"/>
  <c r="I62" i="41"/>
  <c r="F63" i="41"/>
  <c r="F77" i="81"/>
  <c r="M77" i="81"/>
  <c r="H64" i="79"/>
  <c r="I64" i="79"/>
  <c r="F65" i="79"/>
  <c r="F67" i="80"/>
  <c r="H66" i="80"/>
  <c r="I66" i="80"/>
  <c r="F59" i="77"/>
  <c r="H58" i="77"/>
  <c r="I58" i="77"/>
  <c r="H61" i="39"/>
  <c r="F62" i="39"/>
  <c r="F58" i="32"/>
  <c r="H57" i="32"/>
  <c r="F64" i="40"/>
  <c r="H63" i="40"/>
  <c r="H57" i="33"/>
  <c r="F58" i="33"/>
  <c r="F60" i="78"/>
  <c r="H59" i="78"/>
  <c r="I59" i="78"/>
  <c r="F68" i="80"/>
  <c r="H67" i="80"/>
  <c r="I67" i="80"/>
  <c r="H58" i="32"/>
  <c r="F59" i="32"/>
  <c r="F66" i="79"/>
  <c r="H65" i="79"/>
  <c r="I65" i="79"/>
  <c r="F64" i="41"/>
  <c r="H63" i="41"/>
  <c r="I63" i="41"/>
  <c r="F62" i="34"/>
  <c r="H61" i="34"/>
  <c r="I61" i="34"/>
  <c r="G73" i="81"/>
  <c r="H72" i="81"/>
  <c r="I72" i="81"/>
  <c r="F63" i="39"/>
  <c r="H62" i="39"/>
  <c r="H64" i="40"/>
  <c r="F65" i="40"/>
  <c r="F60" i="77"/>
  <c r="H59" i="77"/>
  <c r="I59" i="77"/>
  <c r="F60" i="76"/>
  <c r="H59" i="76"/>
  <c r="I59" i="76"/>
  <c r="H58" i="33"/>
  <c r="F59" i="33"/>
  <c r="H60" i="78"/>
  <c r="I60" i="78"/>
  <c r="F61" i="78"/>
  <c r="G74" i="81"/>
  <c r="H73" i="81"/>
  <c r="I73" i="81"/>
  <c r="F69" i="80"/>
  <c r="H68" i="80"/>
  <c r="I68" i="80"/>
  <c r="H59" i="32"/>
  <c r="F60" i="32"/>
  <c r="H65" i="40"/>
  <c r="F66" i="40"/>
  <c r="F61" i="76"/>
  <c r="H60" i="76"/>
  <c r="I60" i="76"/>
  <c r="H66" i="79"/>
  <c r="H68" i="79"/>
  <c r="F68" i="79"/>
  <c r="M68" i="79"/>
  <c r="H60" i="77"/>
  <c r="I60" i="77"/>
  <c r="F61" i="77"/>
  <c r="F64" i="39"/>
  <c r="H63" i="39"/>
  <c r="H62" i="34"/>
  <c r="I62" i="34"/>
  <c r="F63" i="34"/>
  <c r="F65" i="41"/>
  <c r="H64" i="41"/>
  <c r="I64" i="41"/>
  <c r="F60" i="33"/>
  <c r="H59" i="33"/>
  <c r="F62" i="78"/>
  <c r="H61" i="78"/>
  <c r="I61" i="78"/>
  <c r="H65" i="41"/>
  <c r="I65" i="41"/>
  <c r="F66" i="41"/>
  <c r="H66" i="40"/>
  <c r="F67" i="40"/>
  <c r="I66" i="79"/>
  <c r="I67" i="79"/>
  <c r="H64" i="39"/>
  <c r="F65" i="39"/>
  <c r="H61" i="76"/>
  <c r="I61" i="76"/>
  <c r="F62" i="76"/>
  <c r="F70" i="80"/>
  <c r="H69" i="80"/>
  <c r="I69" i="80"/>
  <c r="F64" i="34"/>
  <c r="H63" i="34"/>
  <c r="I63" i="34"/>
  <c r="H61" i="77"/>
  <c r="I61" i="77"/>
  <c r="F62" i="77"/>
  <c r="F61" i="32"/>
  <c r="H60" i="32"/>
  <c r="G75" i="81"/>
  <c r="H74" i="81"/>
  <c r="I74" i="81"/>
  <c r="F61" i="33"/>
  <c r="H60" i="33"/>
  <c r="H62" i="78"/>
  <c r="I62" i="78"/>
  <c r="F63" i="78"/>
  <c r="H65" i="39"/>
  <c r="F66" i="39"/>
  <c r="H62" i="77"/>
  <c r="I62" i="77"/>
  <c r="F63" i="77"/>
  <c r="H70" i="80"/>
  <c r="I70" i="80"/>
  <c r="F71" i="80"/>
  <c r="F68" i="40"/>
  <c r="H67" i="40"/>
  <c r="H62" i="76"/>
  <c r="I62" i="76"/>
  <c r="F63" i="76"/>
  <c r="G77" i="81"/>
  <c r="H75" i="81"/>
  <c r="H77" i="81"/>
  <c r="F62" i="32"/>
  <c r="H61" i="32"/>
  <c r="H64" i="34"/>
  <c r="I64" i="34"/>
  <c r="F65" i="34"/>
  <c r="H66" i="41"/>
  <c r="H67" i="41"/>
  <c r="F67" i="41"/>
  <c r="M67" i="41"/>
  <c r="H61" i="33"/>
  <c r="F62" i="33"/>
  <c r="F65" i="78"/>
  <c r="M65" i="78"/>
  <c r="H63" i="78"/>
  <c r="H65" i="78"/>
  <c r="I66" i="41"/>
  <c r="F64" i="76"/>
  <c r="H63" i="76"/>
  <c r="I63" i="76"/>
  <c r="H71" i="80"/>
  <c r="H73" i="80"/>
  <c r="F73" i="80"/>
  <c r="M73" i="80"/>
  <c r="F67" i="39"/>
  <c r="H66" i="39"/>
  <c r="I75" i="81"/>
  <c r="I76" i="81"/>
  <c r="H65" i="34"/>
  <c r="H66" i="34"/>
  <c r="F66" i="34"/>
  <c r="M66" i="34"/>
  <c r="F64" i="77"/>
  <c r="H63" i="77"/>
  <c r="I63" i="77"/>
  <c r="F69" i="40"/>
  <c r="H68" i="40"/>
  <c r="H62" i="32"/>
  <c r="F63" i="32"/>
  <c r="H62" i="33"/>
  <c r="F63" i="33"/>
  <c r="I63" i="78"/>
  <c r="I64" i="78"/>
  <c r="I71" i="80"/>
  <c r="I72" i="80"/>
  <c r="F65" i="77"/>
  <c r="H64" i="77"/>
  <c r="I64" i="77"/>
  <c r="F68" i="39"/>
  <c r="H67" i="39"/>
  <c r="F65" i="76"/>
  <c r="H64" i="76"/>
  <c r="I64" i="76"/>
  <c r="H69" i="40"/>
  <c r="F70" i="40"/>
  <c r="F64" i="32"/>
  <c r="H63" i="32"/>
  <c r="I65" i="34"/>
  <c r="H63" i="33"/>
  <c r="F64" i="33"/>
  <c r="F71" i="40"/>
  <c r="H70" i="40"/>
  <c r="F66" i="76"/>
  <c r="H65" i="76"/>
  <c r="I65" i="76"/>
  <c r="F66" i="77"/>
  <c r="H65" i="77"/>
  <c r="I65" i="77"/>
  <c r="F65" i="32"/>
  <c r="H64" i="32"/>
  <c r="F69" i="39"/>
  <c r="H68" i="39"/>
  <c r="H64" i="33"/>
  <c r="F65" i="33"/>
  <c r="H66" i="76"/>
  <c r="I66" i="76"/>
  <c r="F67" i="76"/>
  <c r="F72" i="40"/>
  <c r="H71" i="40"/>
  <c r="F66" i="32"/>
  <c r="H65" i="32"/>
  <c r="H66" i="77"/>
  <c r="I66" i="77"/>
  <c r="F67" i="77"/>
  <c r="H69" i="39"/>
  <c r="F70" i="39"/>
  <c r="H65" i="33"/>
  <c r="F66" i="33"/>
  <c r="H67" i="77"/>
  <c r="I67" i="77"/>
  <c r="F68" i="77"/>
  <c r="H67" i="76"/>
  <c r="I67" i="76"/>
  <c r="F68" i="76"/>
  <c r="H72" i="40"/>
  <c r="H70" i="39"/>
  <c r="F71" i="39"/>
  <c r="H66" i="32"/>
  <c r="F67" i="32"/>
  <c r="H66" i="33"/>
  <c r="F67" i="33"/>
  <c r="F68" i="32"/>
  <c r="H67" i="32"/>
  <c r="H68" i="77"/>
  <c r="I68" i="77"/>
  <c r="F69" i="77"/>
  <c r="H71" i="39"/>
  <c r="F69" i="76"/>
  <c r="H68" i="76"/>
  <c r="I68" i="76"/>
  <c r="F68" i="33"/>
  <c r="H67" i="33"/>
  <c r="H69" i="76"/>
  <c r="I69" i="76"/>
  <c r="F70" i="76"/>
  <c r="F69" i="32"/>
  <c r="H68" i="32"/>
  <c r="H69" i="77"/>
  <c r="I69" i="77"/>
  <c r="F70" i="77"/>
  <c r="H68" i="33"/>
  <c r="F69" i="33"/>
  <c r="F71" i="77"/>
  <c r="H70" i="77"/>
  <c r="I70" i="77"/>
  <c r="F70" i="32"/>
  <c r="H69" i="32"/>
  <c r="F71" i="76"/>
  <c r="H70" i="76"/>
  <c r="I70" i="76"/>
  <c r="F70" i="33"/>
  <c r="H69" i="33"/>
  <c r="F72" i="77"/>
  <c r="H71" i="77"/>
  <c r="I71" i="77"/>
  <c r="H71" i="76"/>
  <c r="I71" i="76"/>
  <c r="F72" i="76"/>
  <c r="H70" i="32"/>
  <c r="F71" i="32"/>
  <c r="F71" i="33"/>
  <c r="H70" i="33"/>
  <c r="H72" i="76"/>
  <c r="I72" i="76"/>
  <c r="F73" i="76"/>
  <c r="H71" i="32"/>
  <c r="F72" i="32"/>
  <c r="F73" i="77"/>
  <c r="H72" i="77"/>
  <c r="I72" i="77"/>
  <c r="H71" i="33"/>
  <c r="F72" i="33"/>
  <c r="F74" i="77"/>
  <c r="H73" i="77"/>
  <c r="I73" i="77"/>
  <c r="F30" i="40"/>
  <c r="F73" i="32"/>
  <c r="H72" i="32"/>
  <c r="F74" i="76"/>
  <c r="H73" i="76"/>
  <c r="I73" i="76"/>
  <c r="H72" i="33"/>
  <c r="F73" i="33"/>
  <c r="F75" i="76"/>
  <c r="H74" i="76"/>
  <c r="I74" i="76"/>
  <c r="F29" i="39"/>
  <c r="H74" i="77"/>
  <c r="I74" i="77"/>
  <c r="F75" i="77"/>
  <c r="H73" i="32"/>
  <c r="F74" i="32"/>
  <c r="F74" i="40"/>
  <c r="M74" i="40"/>
  <c r="H30" i="40"/>
  <c r="F74" i="33"/>
  <c r="H74" i="33"/>
  <c r="H73" i="33"/>
  <c r="F76" i="76"/>
  <c r="H75" i="76"/>
  <c r="I75" i="76"/>
  <c r="H74" i="32"/>
  <c r="F26" i="32"/>
  <c r="H74" i="40"/>
  <c r="I30" i="40"/>
  <c r="I31" i="40"/>
  <c r="I32" i="40"/>
  <c r="I33" i="40"/>
  <c r="I34" i="40"/>
  <c r="I35" i="40"/>
  <c r="I36" i="40"/>
  <c r="I37" i="40"/>
  <c r="I38" i="40"/>
  <c r="I39" i="40"/>
  <c r="I40" i="40"/>
  <c r="I41" i="40"/>
  <c r="I42" i="40"/>
  <c r="I43" i="40"/>
  <c r="I44" i="40"/>
  <c r="I45" i="40"/>
  <c r="I46" i="40"/>
  <c r="I47" i="40"/>
  <c r="I48" i="40"/>
  <c r="I49" i="40"/>
  <c r="I50" i="40"/>
  <c r="I51" i="40"/>
  <c r="I52" i="40"/>
  <c r="I53" i="40"/>
  <c r="I54" i="40"/>
  <c r="I55" i="40"/>
  <c r="I56" i="40"/>
  <c r="I57" i="40"/>
  <c r="I58" i="40"/>
  <c r="I59" i="40"/>
  <c r="I60" i="40"/>
  <c r="I61" i="40"/>
  <c r="I62" i="40"/>
  <c r="I63" i="40"/>
  <c r="I64" i="40"/>
  <c r="I65" i="40"/>
  <c r="I66" i="40"/>
  <c r="I67" i="40"/>
  <c r="I68" i="40"/>
  <c r="I69" i="40"/>
  <c r="I70" i="40"/>
  <c r="I71" i="40"/>
  <c r="I72" i="40"/>
  <c r="H75" i="77"/>
  <c r="I75" i="77"/>
  <c r="F76" i="77"/>
  <c r="H29" i="39"/>
  <c r="F73" i="39"/>
  <c r="M73" i="39"/>
  <c r="F26" i="33"/>
  <c r="I73" i="40"/>
  <c r="J72" i="40"/>
  <c r="K72" i="40"/>
  <c r="F77" i="76"/>
  <c r="H76" i="76"/>
  <c r="I76" i="76"/>
  <c r="F76" i="32"/>
  <c r="H26" i="32"/>
  <c r="H76" i="77"/>
  <c r="I76" i="77"/>
  <c r="F77" i="77"/>
  <c r="H73" i="39"/>
  <c r="I29" i="39"/>
  <c r="I30" i="39"/>
  <c r="I31" i="39"/>
  <c r="I32" i="39"/>
  <c r="I33" i="39"/>
  <c r="I34" i="39"/>
  <c r="I35" i="39"/>
  <c r="I36" i="39"/>
  <c r="I37" i="39"/>
  <c r="I38" i="39"/>
  <c r="I39" i="39"/>
  <c r="I40" i="39"/>
  <c r="I41" i="39"/>
  <c r="I42" i="39"/>
  <c r="I43" i="39"/>
  <c r="I44" i="39"/>
  <c r="I45" i="39"/>
  <c r="I46" i="39"/>
  <c r="I47" i="39"/>
  <c r="I48" i="39"/>
  <c r="I49" i="39"/>
  <c r="I50" i="39"/>
  <c r="I51" i="39"/>
  <c r="I52" i="39"/>
  <c r="I53" i="39"/>
  <c r="I54" i="39"/>
  <c r="I55" i="39"/>
  <c r="I56" i="39"/>
  <c r="I57" i="39"/>
  <c r="I58" i="39"/>
  <c r="I59" i="39"/>
  <c r="I60" i="39"/>
  <c r="I61" i="39"/>
  <c r="I62" i="39"/>
  <c r="I63" i="39"/>
  <c r="I64" i="39"/>
  <c r="I65" i="39"/>
  <c r="I66" i="39"/>
  <c r="I67" i="39"/>
  <c r="I68" i="39"/>
  <c r="I69" i="39"/>
  <c r="I70" i="39"/>
  <c r="I71" i="39"/>
  <c r="I72" i="39"/>
  <c r="F76" i="33"/>
  <c r="H26" i="33"/>
  <c r="F78" i="76"/>
  <c r="H77" i="76"/>
  <c r="I77" i="76"/>
  <c r="F78" i="77"/>
  <c r="H77" i="77"/>
  <c r="I77" i="77"/>
  <c r="H76" i="32"/>
  <c r="M76" i="32"/>
  <c r="I26" i="32"/>
  <c r="I27" i="32"/>
  <c r="I28" i="32"/>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71" i="32"/>
  <c r="I72" i="32"/>
  <c r="I73" i="32"/>
  <c r="I74" i="32"/>
  <c r="I75" i="32"/>
  <c r="H76" i="33"/>
  <c r="M76"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F79" i="76"/>
  <c r="H78" i="76"/>
  <c r="I78" i="76"/>
  <c r="H78" i="77"/>
  <c r="I78" i="77"/>
  <c r="F79" i="77"/>
  <c r="H79" i="76"/>
  <c r="I79" i="76"/>
  <c r="F80" i="76"/>
  <c r="H79" i="77"/>
  <c r="I79" i="77"/>
  <c r="F80" i="77"/>
  <c r="H80" i="76"/>
  <c r="I80" i="76"/>
  <c r="F81" i="76"/>
  <c r="F81" i="77"/>
  <c r="H80" i="77"/>
  <c r="I80" i="77"/>
  <c r="F82" i="76"/>
  <c r="H81" i="76"/>
  <c r="I81" i="76"/>
  <c r="H81" i="77"/>
  <c r="I81" i="77"/>
  <c r="F82" i="77"/>
  <c r="F83" i="77"/>
  <c r="H82" i="77"/>
  <c r="I82" i="77"/>
  <c r="H82" i="76"/>
  <c r="I82" i="76"/>
  <c r="F83" i="76"/>
  <c r="F84" i="76"/>
  <c r="H83" i="76"/>
  <c r="I83" i="76"/>
  <c r="F84" i="77"/>
  <c r="H83" i="77"/>
  <c r="I83" i="77"/>
  <c r="H84" i="77"/>
  <c r="I84" i="77"/>
  <c r="F85" i="77"/>
  <c r="F85" i="76"/>
  <c r="H84" i="76"/>
  <c r="I84" i="76"/>
  <c r="H85" i="77"/>
  <c r="I85" i="77"/>
  <c r="F86" i="77"/>
  <c r="H85" i="76"/>
  <c r="I85" i="76"/>
  <c r="F86" i="76"/>
  <c r="H86" i="76"/>
  <c r="H87" i="76"/>
  <c r="F87" i="76"/>
  <c r="M87" i="76"/>
  <c r="H86" i="77"/>
  <c r="H87" i="77"/>
  <c r="F87" i="77"/>
  <c r="M87" i="77"/>
  <c r="I86" i="77"/>
  <c r="I86" i="76"/>
</calcChain>
</file>

<file path=xl/sharedStrings.xml><?xml version="1.0" encoding="utf-8"?>
<sst xmlns="http://schemas.openxmlformats.org/spreadsheetml/2006/main" count="1336" uniqueCount="275">
  <si>
    <t>GREENLANDS &amp; MIDLANDS COMMUNITY</t>
  </si>
  <si>
    <t>Updated Pricelist</t>
  </si>
  <si>
    <t>SHARE</t>
  </si>
  <si>
    <t>VALUATION</t>
  </si>
  <si>
    <t>PROJECT</t>
  </si>
  <si>
    <t>BLOCK</t>
  </si>
  <si>
    <t>LOT</t>
  </si>
  <si>
    <t>CONCATENATE</t>
  </si>
  <si>
    <t>LOT AREA</t>
  </si>
  <si>
    <t>NON MEMBER</t>
  </si>
  <si>
    <t>MEMBER</t>
  </si>
  <si>
    <t>SELLING PRICE WITH EFFECTIVE 15% INCREASE</t>
  </si>
  <si>
    <t>SELLING PRICE PRIOR TO PRICE INCREASE</t>
  </si>
  <si>
    <t>DISCOUNT</t>
  </si>
  <si>
    <t>HOUSE ADDRESS</t>
  </si>
  <si>
    <t>Vlookup</t>
  </si>
  <si>
    <t>Old TCP</t>
  </si>
  <si>
    <t>with Increase</t>
  </si>
  <si>
    <t>Variance</t>
  </si>
  <si>
    <t>GENERAL INSTRUCTIONS</t>
  </si>
  <si>
    <t xml:space="preserve">Step 1 : </t>
  </si>
  <si>
    <t>Please input/select necessary data in the highlighted cells only.</t>
  </si>
  <si>
    <t xml:space="preserve">Step 2 : </t>
  </si>
  <si>
    <t>Kindly select desired payment term</t>
  </si>
  <si>
    <t>Plantation Hills</t>
  </si>
  <si>
    <t>Member</t>
  </si>
  <si>
    <t>Non-Member</t>
  </si>
  <si>
    <t>NAME OF BUYER</t>
  </si>
  <si>
    <t>Azeneth Licerio</t>
  </si>
  <si>
    <t>Cash</t>
  </si>
  <si>
    <t>TYPE OF BUYER</t>
  </si>
  <si>
    <t>New Buyer</t>
  </si>
  <si>
    <t>50% Spot | 50% in 60 months</t>
  </si>
  <si>
    <t>20% Spot | 80% in 60 months</t>
  </si>
  <si>
    <t>BLOCK NUMBER</t>
  </si>
  <si>
    <t>10 - 40(36) - 50</t>
  </si>
  <si>
    <t>LOT NUMBER</t>
  </si>
  <si>
    <t>10(6) - 30(30) - 60</t>
  </si>
  <si>
    <t>20(30) - 80</t>
  </si>
  <si>
    <t>100% in 60 months</t>
  </si>
  <si>
    <t>LIST PRICE (VAT-IN)</t>
  </si>
  <si>
    <t>Fairfield</t>
  </si>
  <si>
    <t>Anne Dacasin</t>
  </si>
  <si>
    <t>PROJECT NAME</t>
  </si>
  <si>
    <t>5(12) - 10(24) - 15(24) - 70</t>
  </si>
  <si>
    <t>10(30) - 10(18) - 80</t>
  </si>
  <si>
    <t>PROMO DISCOUNT</t>
  </si>
  <si>
    <t>Give</t>
  </si>
  <si>
    <t>BELLE CLASSIC LOTS</t>
  </si>
  <si>
    <t>100% in 30 days</t>
  </si>
  <si>
    <t>Sycamore Heights</t>
  </si>
  <si>
    <t>Repeat Buyer</t>
  </si>
  <si>
    <t>Add: TCCATH Share</t>
  </si>
  <si>
    <t>BELLE CORPORATION</t>
  </si>
  <si>
    <t>Add: Playing Rights</t>
  </si>
  <si>
    <t>ANNEX A</t>
  </si>
  <si>
    <t>PLAYING RIGHTS</t>
  </si>
  <si>
    <t>TCCATH SHARE</t>
  </si>
  <si>
    <t>PAYMENT COMPUTATION TABLE</t>
  </si>
  <si>
    <t>Return to Input</t>
  </si>
  <si>
    <t>BLOCK &amp; LOT NO.</t>
  </si>
  <si>
    <t>LIST PRICE</t>
  </si>
  <si>
    <t>PAYMENT TERM</t>
  </si>
  <si>
    <t>Less : Repeat Buyer Discount</t>
  </si>
  <si>
    <t>CONTRACT PRICE COMPUTATION:</t>
  </si>
  <si>
    <t>LIST PRICE (VAT in)</t>
  </si>
  <si>
    <t>Less : Discount for members</t>
  </si>
  <si>
    <t>Less : Term Discount</t>
  </si>
  <si>
    <t>Add: Other Charges (O.C.)</t>
  </si>
  <si>
    <t>Net Contract Price</t>
  </si>
  <si>
    <t>PAYMENT NO.</t>
  </si>
  <si>
    <t>DATE DUE</t>
  </si>
  <si>
    <t>PARTICULARS</t>
  </si>
  <si>
    <t>LIST PRICE (VAT IN)</t>
  </si>
  <si>
    <t>O.C.</t>
  </si>
  <si>
    <t>AMOUNT DUE</t>
  </si>
  <si>
    <t>OUTSTANDING BALANCE</t>
  </si>
  <si>
    <t>Reservation Fee</t>
  </si>
  <si>
    <t>RF</t>
  </si>
  <si>
    <t>Payment Holiday</t>
  </si>
  <si>
    <t>Spot Cash</t>
  </si>
  <si>
    <t>TOTAL</t>
  </si>
  <si>
    <t>NOTES:</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</si>
  <si>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t>
  </si>
  <si>
    <t>CONFORME:</t>
  </si>
  <si>
    <t>BUYER</t>
  </si>
  <si>
    <t>BELLE SALES OFFICER</t>
  </si>
  <si>
    <t>SYCAMORE HEIGHTS</t>
  </si>
  <si>
    <t>OTHER LOTS</t>
  </si>
  <si>
    <t>90% Spot DP</t>
  </si>
  <si>
    <t>Spot DP</t>
  </si>
  <si>
    <t>MA - 1</t>
  </si>
  <si>
    <t>MA - 2</t>
  </si>
  <si>
    <t>MA - 3</t>
  </si>
  <si>
    <t>MA - 4</t>
  </si>
  <si>
    <t>MA - 5</t>
  </si>
  <si>
    <t>MA - 6</t>
  </si>
  <si>
    <t>MA - 7</t>
  </si>
  <si>
    <t>MA - 8</t>
  </si>
  <si>
    <t>MA - 9</t>
  </si>
  <si>
    <t>MA - 10</t>
  </si>
  <si>
    <t>MA - 11</t>
  </si>
  <si>
    <t>MA - 12</t>
  </si>
  <si>
    <t>MA - 13</t>
  </si>
  <si>
    <t>MA - 14</t>
  </si>
  <si>
    <t>MA - 15</t>
  </si>
  <si>
    <t>MA - 16</t>
  </si>
  <si>
    <t>MA - 17</t>
  </si>
  <si>
    <t>MA - 18</t>
  </si>
  <si>
    <t>MA - 19</t>
  </si>
  <si>
    <t>MA - 20</t>
  </si>
  <si>
    <t>MA - 21</t>
  </si>
  <si>
    <t>MA - 22</t>
  </si>
  <si>
    <t>MA - 23</t>
  </si>
  <si>
    <t>MA - 24</t>
  </si>
  <si>
    <r>
      <t xml:space="preserve">8. If the buyer is an existing shareholder-member, the proprietary TMGC share may be converted into a cash discount equivalent to </t>
    </r>
    <r>
      <rPr>
        <b/>
        <u/>
        <sz val="9"/>
        <color theme="0"/>
        <rFont val="Calibri"/>
        <family val="2"/>
      </rPr>
      <t>P350,000.00.</t>
    </r>
  </si>
  <si>
    <r>
      <t xml:space="preserve">8. If the buyer is an existing shareholder-member, the proprietary TCCATH share may be converted into a cash discount equivalent to </t>
    </r>
    <r>
      <rPr>
        <b/>
        <u/>
        <sz val="9"/>
        <color theme="0"/>
        <rFont val="Calibri"/>
        <family val="2"/>
      </rPr>
      <t>P150,000.00.</t>
    </r>
  </si>
  <si>
    <t xml:space="preserve">50% Spot </t>
  </si>
  <si>
    <t>25% Lump Sum</t>
  </si>
  <si>
    <t>MA - 25</t>
  </si>
  <si>
    <t>MA - 26</t>
  </si>
  <si>
    <t>MA - 27</t>
  </si>
  <si>
    <t>MA - 28</t>
  </si>
  <si>
    <t>MA - 29</t>
  </si>
  <si>
    <t>MA - 30</t>
  </si>
  <si>
    <t>MA - 31</t>
  </si>
  <si>
    <t>MA - 32</t>
  </si>
  <si>
    <t>MA - 33</t>
  </si>
  <si>
    <t>MA - 34</t>
  </si>
  <si>
    <t>MA - 35</t>
  </si>
  <si>
    <t>MA - 36</t>
  </si>
  <si>
    <t>MA - 37</t>
  </si>
  <si>
    <t>MA - 38</t>
  </si>
  <si>
    <t>MA - 39</t>
  </si>
  <si>
    <t>MA - 40</t>
  </si>
  <si>
    <t>MA - 41</t>
  </si>
  <si>
    <t>MA - 42</t>
  </si>
  <si>
    <t>MA - 43</t>
  </si>
  <si>
    <t>MA - 44</t>
  </si>
  <si>
    <t>MA - 45</t>
  </si>
  <si>
    <t>MA - 46</t>
  </si>
  <si>
    <t>MA - 47</t>
  </si>
  <si>
    <t>MA - 48</t>
  </si>
  <si>
    <t>Lump Sum</t>
  </si>
  <si>
    <t>7. Sycamore Heights is exclusive to active members of Tagaytay Highlands and Tagaytay Midlands.</t>
  </si>
  <si>
    <t>7. Each lot comes with a one (1) proprietary share of Tagaytay Midlands Golf Club.  In the interest of determining the appropriate taxes, a value will be assigned to the club share upon final documentation.  All memebership applications shall be subject to the approval of the Membership Committee in accordance with the Club's rules, regulations and policies.</t>
  </si>
  <si>
    <t>7. Each lot at The Parks at Saratoga Hiils comes with a propeitary share at The Country Club at Tagayatay Highlands (TCCATH).  In the interest of derermining the appropriate taxes, a value will be assigned to the said club share.  All membership applications shall be subject to the approval of the Club's Membership Committee in accordance with the Club's rules, regulations and policies.</t>
  </si>
  <si>
    <r>
      <t xml:space="preserve">8. If the buyer is an existing shareholder-member, the proprietary TMGC share may be converted into a cash discount equivalent to </t>
    </r>
    <r>
      <rPr>
        <b/>
        <u/>
        <sz val="9"/>
        <color indexed="9"/>
        <rFont val="Calibri"/>
        <family val="2"/>
      </rPr>
      <t>P350,000.00.</t>
    </r>
  </si>
  <si>
    <r>
      <t xml:space="preserve">8. If the buyer is an existing shareholder-member, the proprietary TCCATH share may be converted into a cash discount equivalent to </t>
    </r>
    <r>
      <rPr>
        <b/>
        <u/>
        <sz val="9"/>
        <color indexed="9"/>
        <rFont val="Calibri"/>
        <family val="2"/>
      </rPr>
      <t>P150,000.00.</t>
    </r>
  </si>
  <si>
    <t xml:space="preserve">20% Spot </t>
  </si>
  <si>
    <t xml:space="preserve">       Less : Repeat Buyer Discount</t>
  </si>
  <si>
    <t>10% Spot DP</t>
  </si>
  <si>
    <t>LIST PRICE (net of Playing Rights/Share)</t>
  </si>
  <si>
    <t xml:space="preserve">       Less : Lot Discount</t>
  </si>
  <si>
    <t>Availability as of 9 Sept 2022</t>
  </si>
  <si>
    <t>45% Lump Sum</t>
  </si>
  <si>
    <t>50% Lump Sum</t>
  </si>
  <si>
    <t>DP-1</t>
  </si>
  <si>
    <t>DP-2</t>
  </si>
  <si>
    <t>DP-3</t>
  </si>
  <si>
    <t>MA-1</t>
  </si>
  <si>
    <t>MA-2</t>
  </si>
  <si>
    <t>MA-3</t>
  </si>
  <si>
    <t>MA-4</t>
  </si>
  <si>
    <t>MA-5</t>
  </si>
  <si>
    <t>MA-6</t>
  </si>
  <si>
    <t>MA-7</t>
  </si>
  <si>
    <t>MA-8</t>
  </si>
  <si>
    <t>MA-9</t>
  </si>
  <si>
    <t>MA-10</t>
  </si>
  <si>
    <t>MA-11</t>
  </si>
  <si>
    <t>MA-12</t>
  </si>
  <si>
    <t>MA-13</t>
  </si>
  <si>
    <t>MA-14</t>
  </si>
  <si>
    <t>MA-15</t>
  </si>
  <si>
    <t>MA-16</t>
  </si>
  <si>
    <t>MA-17</t>
  </si>
  <si>
    <t>MA-18</t>
  </si>
  <si>
    <t>MA-19</t>
  </si>
  <si>
    <t>MA-20</t>
  </si>
  <si>
    <t>MA-21</t>
  </si>
  <si>
    <t>MA-22</t>
  </si>
  <si>
    <t>MA-23</t>
  </si>
  <si>
    <t>MA-24</t>
  </si>
  <si>
    <t>MA-25</t>
  </si>
  <si>
    <t>MA-26</t>
  </si>
  <si>
    <t>MA-27</t>
  </si>
  <si>
    <t>MA-28</t>
  </si>
  <si>
    <t>MA-29</t>
  </si>
  <si>
    <t>MA-30</t>
  </si>
  <si>
    <t>MA-31</t>
  </si>
  <si>
    <t>MA-32</t>
  </si>
  <si>
    <t>MA-33</t>
  </si>
  <si>
    <t>MA-34</t>
  </si>
  <si>
    <t>MA-35</t>
  </si>
  <si>
    <t>MA-36</t>
  </si>
  <si>
    <t>40% Lump Sum</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</si>
  <si>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at Sycamore Heights comes with membership rights to The Country Club at Tagaytay Highlands (TCCATH).  All membership applications shall be subject to the approval of the Club's Membership Committee in accordance with Club rules, regulations and policies. 
7. If the buyer is an existing shareholder-member, the membership rights may be converted into a cash discount equivalent to P200,000.00.
8. Other Charges will be based only on the Lot/Unit Price after discounts and exclusive of VAT and will be spread out in accordance to the buyer's Schedule of Payment.</t>
  </si>
  <si>
    <t>MA2-1</t>
  </si>
  <si>
    <t>MA2-2</t>
  </si>
  <si>
    <t>MA2-3</t>
  </si>
  <si>
    <t>MA2-4</t>
  </si>
  <si>
    <t>MA2-5</t>
  </si>
  <si>
    <t>MA2-6</t>
  </si>
  <si>
    <t>MA2-7</t>
  </si>
  <si>
    <t>MA2-8</t>
  </si>
  <si>
    <t>MA2-9</t>
  </si>
  <si>
    <t>MA2-10</t>
  </si>
  <si>
    <t>MA2-11</t>
  </si>
  <si>
    <t>MA2-12</t>
  </si>
  <si>
    <t>MA2-13</t>
  </si>
  <si>
    <t>MA2-14</t>
  </si>
  <si>
    <t>MA2-15</t>
  </si>
  <si>
    <t>MA2-16</t>
  </si>
  <si>
    <t>MA2-17</t>
  </si>
  <si>
    <t>MA2-18</t>
  </si>
  <si>
    <t>MA2-19</t>
  </si>
  <si>
    <t>MA2-20</t>
  </si>
  <si>
    <t>MA2-21</t>
  </si>
  <si>
    <t>MA2-22</t>
  </si>
  <si>
    <t>MA2-23</t>
  </si>
  <si>
    <t>MA2-24</t>
  </si>
  <si>
    <t>MA2-25</t>
  </si>
  <si>
    <t>MA2-26</t>
  </si>
  <si>
    <t>MA2-27</t>
  </si>
  <si>
    <t>MA2-28</t>
  </si>
  <si>
    <t>MA2-29</t>
  </si>
  <si>
    <t>MA2-30</t>
  </si>
  <si>
    <t>MA2-31</t>
  </si>
  <si>
    <t>MA2-32</t>
  </si>
  <si>
    <t>MA2-33</t>
  </si>
  <si>
    <t>MA2-34</t>
  </si>
  <si>
    <t>MA2-35</t>
  </si>
  <si>
    <t>MA2-36</t>
  </si>
  <si>
    <t>MA2-37</t>
  </si>
  <si>
    <t>MA2-38</t>
  </si>
  <si>
    <t>10% in 10 months</t>
  </si>
  <si>
    <t>50% in 38 months</t>
  </si>
  <si>
    <t>MA-37</t>
  </si>
  <si>
    <t>MA-38</t>
  </si>
  <si>
    <t>MA - 49</t>
  </si>
  <si>
    <t>MA - 50</t>
  </si>
  <si>
    <t>MA - 51</t>
  </si>
  <si>
    <t>MA - 52</t>
  </si>
  <si>
    <t>MA - 53</t>
  </si>
  <si>
    <t>MA - 54</t>
  </si>
  <si>
    <t>MA - 55</t>
  </si>
  <si>
    <t>MA - 56</t>
  </si>
  <si>
    <t>MA - 57</t>
  </si>
  <si>
    <t>MA - 58</t>
  </si>
  <si>
    <t>MA - 59</t>
  </si>
  <si>
    <t>MA - 60</t>
  </si>
  <si>
    <t>35% in 48 months</t>
  </si>
  <si>
    <t>25% in 48 months</t>
  </si>
  <si>
    <t>DATE</t>
  </si>
  <si>
    <t>10% on the 12th month</t>
  </si>
  <si>
    <t>SYCAMORE: Cash Term
90% Spot | 10% on the 12Th mo</t>
  </si>
  <si>
    <t>Nob Hill</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</si>
  <si>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at Sycamore Heights comes with membership rights to The Country Club at Tagaytay Highlands (TCCATH).  All membership applications shall be subject to the approval of the Club's Membership Committee in accordance with Club rules, regulations and policies. 
7. If the buyer is an existing shareholder-member, the membership rights may be converted into a cash discount equivalent to P200,000.
8. Other Charges will be based only on the Lot/Unit Price after discounts and exclusive of VAT and will be spread out in accordance to the buyer's Schedule of Payment.</t>
  </si>
  <si>
    <t>Less : Playing Rights</t>
  </si>
  <si>
    <t>Gela</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</si>
  <si>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membership rights to The Country Club at Tagaytay Highlands (TCCATH).  All membership applications shall be subject to the approval of the Club's Membership Committee in accordance with Club rules, regulations and policies.                                                                 
7. If the buyer is an existing shareholder-member, the membership rights may be converted into a cash discount equivalent to P200,000.00.
8. Other Charges will be based only on the Lot/Unit Price after discounts and exclusive of VAT and will be spread out in accordance to the buyer's Schedule of Payment.</t>
  </si>
  <si>
    <t>10% in 3 months</t>
  </si>
  <si>
    <t>40% in 36 months</t>
  </si>
  <si>
    <t>LIST PRICE (Vat-In)</t>
  </si>
  <si>
    <t>Total Contract Price</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</si>
  <si>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Other Charges will be based only on the Lot/Unit Price after discounts and exclusive of VAT and will be spread out in accordance to the buyer's Schedule of Payment.</t>
  </si>
  <si>
    <t>35% in 42 months</t>
  </si>
  <si>
    <t>20% Spot | 35% in 42mos | 35% LS</t>
  </si>
  <si>
    <t>Less :Promo Discount</t>
  </si>
  <si>
    <t>20% in 3 months</t>
  </si>
  <si>
    <t>30% in 36 months</t>
  </si>
  <si>
    <t>25% in 42 months</t>
  </si>
  <si>
    <t>50% Spot | 25% in 42 mos | 25% LS</t>
  </si>
  <si>
    <t>20% in 3mos | 30% in 36mos | 50% 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</si>
</sst>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0\ &quot;sq. m.&quot;"/>
    <numFmt numFmtId="166" formatCode="0.0%"/>
    <numFmt numFmtId="167" formatCode="#,##0\ &quot;sq. m&quot;"/>
    <numFmt numFmtId="168" formatCode="[$-409]dd\-mmm\-yy;@"/>
    <numFmt numFmtId="169" formatCode="[$-409]mmm\-yy;@"/>
    <numFmt numFmtId="170" formatCode="_(* #,##0_);_(* \(#,##0\);_(* &quot;-&quot;??_);_(@_)"/>
    <numFmt numFmtId="171" formatCode="[$-409]d\-mmm\-yy;@"/>
    <numFmt numFmtId="172" formatCode="#,##0.00_ ;\-#,##0.00\ "/>
  </numFmts>
  <fonts count="4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0"/>
      <color theme="1"/>
      <name val="Calibri"/>
      <family val="2"/>
      <scheme val="minor"/>
    </font>
    <font>
      <u/>
      <sz val="11"/>
      <color theme="10"/>
      <name val="Calibri"/>
      <family val="2"/>
    </font>
    <font>
      <sz val="10"/>
      <color theme="1"/>
      <name val="Calibri"/>
      <family val="2"/>
      <scheme val="minor"/>
    </font>
    <font>
      <b/>
      <sz val="11"/>
      <color indexed="8"/>
      <name val="Calibri"/>
      <family val="2"/>
    </font>
    <font>
      <sz val="11"/>
      <color theme="0"/>
      <name val="Calibri"/>
      <family val="2"/>
    </font>
    <font>
      <b/>
      <u/>
      <sz val="16"/>
      <color theme="1"/>
      <name val="Calibri"/>
      <family val="2"/>
      <scheme val="minor"/>
    </font>
    <font>
      <b/>
      <sz val="11"/>
      <color theme="0"/>
      <name val="Calibri"/>
      <family val="2"/>
    </font>
    <font>
      <b/>
      <sz val="11"/>
      <name val="Calibri"/>
      <family val="2"/>
    </font>
    <font>
      <sz val="11"/>
      <color indexed="8"/>
      <name val="Calibri"/>
      <family val="2"/>
    </font>
    <font>
      <b/>
      <sz val="10"/>
      <color indexed="8"/>
      <name val="Calibri"/>
      <family val="2"/>
    </font>
    <font>
      <sz val="10"/>
      <color indexed="8"/>
      <name val="Calibri"/>
      <family val="2"/>
    </font>
    <font>
      <b/>
      <i/>
      <sz val="9"/>
      <color indexed="8"/>
      <name val="Calibri"/>
      <family val="2"/>
    </font>
    <font>
      <sz val="9"/>
      <color indexed="8"/>
      <name val="Calibri"/>
      <family val="2"/>
    </font>
    <font>
      <b/>
      <i/>
      <sz val="8"/>
      <name val="Calibri"/>
      <family val="2"/>
    </font>
    <font>
      <sz val="8"/>
      <name val="Calibri"/>
      <family val="2"/>
    </font>
    <font>
      <sz val="11"/>
      <name val="Calibri"/>
      <family val="2"/>
      <scheme val="minor"/>
    </font>
    <font>
      <sz val="10"/>
      <name val="Calibri"/>
      <family val="2"/>
    </font>
    <font>
      <sz val="9"/>
      <color indexed="9"/>
      <name val="Calibri"/>
      <family val="2"/>
    </font>
    <font>
      <sz val="11"/>
      <color indexed="9"/>
      <name val="Calibri"/>
      <family val="2"/>
    </font>
    <font>
      <b/>
      <u/>
      <sz val="9"/>
      <color indexed="9"/>
      <name val="Calibri"/>
      <family val="2"/>
    </font>
    <font>
      <sz val="10"/>
      <color theme="0"/>
      <name val="Calibri"/>
      <family val="2"/>
    </font>
    <font>
      <sz val="9"/>
      <color theme="0"/>
      <name val="Calibri"/>
      <family val="2"/>
    </font>
    <font>
      <b/>
      <u/>
      <sz val="9"/>
      <color theme="0"/>
      <name val="Calibri"/>
      <family val="2"/>
    </font>
    <font>
      <sz val="11"/>
      <color rgb="FFC00000"/>
      <name val="Calibri"/>
      <family val="2"/>
      <scheme val="minor"/>
    </font>
    <font>
      <sz val="10"/>
      <name val="Arial"/>
      <family val="2"/>
    </font>
    <font>
      <u/>
      <sz val="11"/>
      <color rgb="FFFF0000"/>
      <name val="Calibri"/>
      <family val="2"/>
    </font>
    <font>
      <sz val="11"/>
      <color rgb="FFFF0000"/>
      <name val="Calibri"/>
      <family val="2"/>
    </font>
    <font>
      <u/>
      <sz val="11"/>
      <color rgb="FF0000FF"/>
      <name val="Calibri"/>
      <family val="2"/>
    </font>
    <font>
      <sz val="9"/>
      <name val="Calibri"/>
      <family val="2"/>
    </font>
    <font>
      <sz val="9"/>
      <color rgb="FFFF0000"/>
      <name val="Calibri"/>
      <family val="2"/>
    </font>
    <font>
      <sz val="11"/>
      <name val="Calibri"/>
      <family val="2"/>
    </font>
    <font>
      <b/>
      <sz val="10"/>
      <name val="Calibri"/>
      <family val="2"/>
    </font>
    <font>
      <b/>
      <u/>
      <sz val="16"/>
      <color theme="0"/>
      <name val="Calibri"/>
      <family val="2"/>
      <scheme val="minor"/>
    </font>
    <font>
      <b/>
      <i/>
      <sz val="11"/>
      <color theme="0"/>
      <name val="Calibri"/>
      <family val="2"/>
      <scheme val="minor"/>
    </font>
    <font>
      <i/>
      <sz val="11"/>
      <color theme="0"/>
      <name val="Calibri"/>
      <family val="2"/>
      <scheme val="minor"/>
    </font>
    <font>
      <sz val="12"/>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66CC"/>
        <bgColor indexed="64"/>
      </patternFill>
    </fill>
    <fill>
      <patternFill patternType="solid">
        <fgColor indexed="9"/>
        <bgColor indexed="64"/>
      </patternFill>
    </fill>
    <fill>
      <patternFill patternType="solid">
        <fgColor indexed="50"/>
        <bgColor indexed="64"/>
      </patternFill>
    </fill>
    <fill>
      <patternFill patternType="solid">
        <fgColor rgb="FFFFC000"/>
        <bgColor indexed="64"/>
      </patternFill>
    </fill>
    <fill>
      <patternFill patternType="solid">
        <fgColor rgb="FF00B050"/>
        <bgColor indexed="64"/>
      </patternFill>
    </fill>
    <fill>
      <patternFill patternType="solid">
        <fgColor theme="4" tint="0.79998168889431442"/>
        <bgColor indexed="64"/>
      </patternFill>
    </fill>
    <fill>
      <patternFill patternType="solid">
        <fgColor rgb="FF663300"/>
        <bgColor indexed="64"/>
      </patternFill>
    </fill>
  </fills>
  <borders count="77">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double">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rgb="FF00B0F0"/>
      </left>
      <right style="thin">
        <color rgb="FF00B0F0"/>
      </right>
      <top style="thin">
        <color rgb="FF00B0F0"/>
      </top>
      <bottom style="thin">
        <color rgb="FF00B0F0"/>
      </bottom>
      <diagonal/>
    </border>
    <border>
      <left style="dotted">
        <color theme="0" tint="-0.34998626667073579"/>
      </left>
      <right/>
      <top style="dotted">
        <color theme="0" tint="-0.34998626667073579"/>
      </top>
      <bottom/>
      <diagonal/>
    </border>
    <border>
      <left/>
      <right style="dotted">
        <color theme="0" tint="-0.34998626667073579"/>
      </right>
      <top style="dotted">
        <color theme="0" tint="-0.34998626667073579"/>
      </top>
      <bottom/>
      <diagonal/>
    </border>
    <border>
      <left style="medium">
        <color rgb="FF00B0F0"/>
      </left>
      <right style="thin">
        <color rgb="FF00B0F0"/>
      </right>
      <top style="medium">
        <color rgb="FF00B0F0"/>
      </top>
      <bottom style="medium">
        <color rgb="FF00B0F0"/>
      </bottom>
      <diagonal/>
    </border>
    <border>
      <left style="thin">
        <color rgb="FF00B0F0"/>
      </left>
      <right style="thin">
        <color rgb="FF00B0F0"/>
      </right>
      <top style="medium">
        <color rgb="FF00B0F0"/>
      </top>
      <bottom style="medium">
        <color rgb="FF00B0F0"/>
      </bottom>
      <diagonal/>
    </border>
    <border>
      <left style="thin">
        <color rgb="FF00B0F0"/>
      </left>
      <right style="medium">
        <color rgb="FF00B0F0"/>
      </right>
      <top style="medium">
        <color rgb="FF00B0F0"/>
      </top>
      <bottom style="medium">
        <color rgb="FF00B0F0"/>
      </bottom>
      <diagonal/>
    </border>
    <border>
      <left style="medium">
        <color rgb="FF00B0F0"/>
      </left>
      <right style="thin">
        <color rgb="FF00B0F0"/>
      </right>
      <top style="thin">
        <color rgb="FF00B0F0"/>
      </top>
      <bottom style="thin">
        <color rgb="FF00B0F0"/>
      </bottom>
      <diagonal/>
    </border>
    <border>
      <left style="thin">
        <color rgb="FF00B0F0"/>
      </left>
      <right style="medium">
        <color rgb="FF00B0F0"/>
      </right>
      <top style="thin">
        <color rgb="FF00B0F0"/>
      </top>
      <bottom style="thin">
        <color rgb="FF00B0F0"/>
      </bottom>
      <diagonal/>
    </border>
    <border>
      <left style="thin">
        <color auto="1"/>
      </left>
      <right style="thin">
        <color auto="1"/>
      </right>
      <top style="thin">
        <color auto="1"/>
      </top>
      <bottom/>
      <diagonal/>
    </border>
    <border>
      <left/>
      <right style="medium">
        <color rgb="FF00B0F0"/>
      </right>
      <top style="medium">
        <color rgb="FF00B0F0"/>
      </top>
      <bottom style="medium">
        <color rgb="FF00B0F0"/>
      </bottom>
      <diagonal/>
    </border>
    <border>
      <left/>
      <right style="thin">
        <color rgb="FF00B0F0"/>
      </right>
      <top style="thin">
        <color rgb="FF00B0F0"/>
      </top>
      <bottom style="thin">
        <color rgb="FF00B0F0"/>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medium">
        <color rgb="FF00B0F0"/>
      </left>
      <right style="thin">
        <color rgb="FF00B0F0"/>
      </right>
      <top style="thin">
        <color rgb="FF00B0F0"/>
      </top>
      <bottom/>
      <diagonal/>
    </border>
    <border>
      <left style="medium">
        <color theme="1"/>
      </left>
      <right/>
      <top style="medium">
        <color theme="1"/>
      </top>
      <bottom style="thin">
        <color auto="1"/>
      </bottom>
      <diagonal/>
    </border>
    <border>
      <left/>
      <right style="thin">
        <color auto="1"/>
      </right>
      <top style="medium">
        <color theme="1"/>
      </top>
      <bottom style="thin">
        <color auto="1"/>
      </bottom>
      <diagonal/>
    </border>
    <border>
      <left style="thin">
        <color auto="1"/>
      </left>
      <right style="thin">
        <color auto="1"/>
      </right>
      <top style="medium">
        <color theme="1"/>
      </top>
      <bottom style="thin">
        <color auto="1"/>
      </bottom>
      <diagonal/>
    </border>
    <border>
      <left style="thin">
        <color auto="1"/>
      </left>
      <right/>
      <top style="medium">
        <color theme="1"/>
      </top>
      <bottom style="thin">
        <color auto="1"/>
      </bottom>
      <diagonal/>
    </border>
    <border>
      <left style="thin">
        <color auto="1"/>
      </left>
      <right style="medium">
        <color theme="1"/>
      </right>
      <top style="medium">
        <color theme="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bottom style="thin">
        <color auto="1"/>
      </bottom>
      <diagonal/>
    </border>
    <border>
      <left style="medium">
        <color theme="1"/>
      </left>
      <right/>
      <top style="thin">
        <color auto="1"/>
      </top>
      <bottom style="thin">
        <color auto="1"/>
      </bottom>
      <diagonal/>
    </border>
    <border>
      <left style="thin">
        <color auto="1"/>
      </left>
      <right style="medium">
        <color theme="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medium">
        <color theme="1"/>
      </left>
      <right style="thin">
        <color auto="1"/>
      </right>
      <top style="medium">
        <color theme="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31" fillId="0" borderId="0"/>
    <xf numFmtId="0" fontId="1" fillId="0" borderId="0"/>
  </cellStyleXfs>
  <cellXfs count="306">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6" fillId="2" borderId="0" xfId="0" applyFont="1" applyFill="1" applyBorder="1"/>
    <xf numFmtId="0" fontId="0" fillId="2" borderId="5" xfId="0" applyFill="1" applyBorder="1"/>
    <xf numFmtId="0" fontId="4" fillId="2" borderId="0" xfId="0" applyFont="1" applyFill="1" applyBorder="1" applyAlignment="1">
      <alignment horizontal="right" vertical="center"/>
    </xf>
    <xf numFmtId="0" fontId="0" fillId="2" borderId="0" xfId="0" applyFill="1" applyBorder="1" applyAlignment="1">
      <alignment vertical="center"/>
    </xf>
    <xf numFmtId="0" fontId="0" fillId="2" borderId="6" xfId="0" applyFill="1" applyBorder="1"/>
    <xf numFmtId="0" fontId="4" fillId="2" borderId="7" xfId="0" applyFont="1" applyFill="1" applyBorder="1" applyAlignment="1">
      <alignment horizontal="right" vertical="center"/>
    </xf>
    <xf numFmtId="0" fontId="0" fillId="2" borderId="7" xfId="0" applyFill="1" applyBorder="1" applyAlignment="1">
      <alignment vertical="center"/>
    </xf>
    <xf numFmtId="0" fontId="0" fillId="2" borderId="7" xfId="0" applyFill="1" applyBorder="1"/>
    <xf numFmtId="0" fontId="0" fillId="2" borderId="8" xfId="0" applyFill="1" applyBorder="1"/>
    <xf numFmtId="0" fontId="7" fillId="2" borderId="0" xfId="0" applyFont="1" applyFill="1" applyBorder="1" applyAlignment="1">
      <alignment horizontal="center" vertical="center"/>
    </xf>
    <xf numFmtId="0" fontId="9" fillId="2" borderId="0" xfId="0" applyFont="1" applyFill="1" applyBorder="1" applyAlignment="1">
      <alignment vertical="center"/>
    </xf>
    <xf numFmtId="165" fontId="9" fillId="2" borderId="12" xfId="0" applyNumberFormat="1" applyFont="1" applyFill="1" applyBorder="1" applyAlignment="1">
      <alignment horizontal="center" vertical="center"/>
    </xf>
    <xf numFmtId="4" fontId="9" fillId="2" borderId="12"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xf>
    <xf numFmtId="0" fontId="4" fillId="2" borderId="0" xfId="0" applyFont="1" applyFill="1" applyAlignment="1">
      <alignment horizontal="center" vertical="center"/>
    </xf>
    <xf numFmtId="0" fontId="0" fillId="5" borderId="0" xfId="0" applyFill="1"/>
    <xf numFmtId="0" fontId="10" fillId="5" borderId="0" xfId="0" applyFont="1" applyFill="1"/>
    <xf numFmtId="0" fontId="11" fillId="5" borderId="0" xfId="0" applyFont="1" applyFill="1" applyBorder="1"/>
    <xf numFmtId="0" fontId="0" fillId="5" borderId="0" xfId="0" applyFill="1" applyBorder="1"/>
    <xf numFmtId="0" fontId="13" fillId="5" borderId="0" xfId="0" applyFont="1" applyFill="1" applyBorder="1" applyAlignment="1">
      <alignment horizontal="left"/>
    </xf>
    <xf numFmtId="0" fontId="8" fillId="5" borderId="0" xfId="3" applyFill="1" applyAlignment="1" applyProtection="1">
      <protection locked="0"/>
    </xf>
    <xf numFmtId="0" fontId="14" fillId="6" borderId="15" xfId="0" applyFont="1" applyFill="1" applyBorder="1" applyAlignment="1">
      <alignment horizontal="left" vertical="center" wrapText="1"/>
    </xf>
    <xf numFmtId="0" fontId="10" fillId="5" borderId="18" xfId="0" applyFont="1" applyFill="1" applyBorder="1" applyAlignment="1">
      <alignment horizontal="left"/>
    </xf>
    <xf numFmtId="0" fontId="10" fillId="5" borderId="0" xfId="0" applyFont="1" applyFill="1" applyBorder="1" applyAlignment="1"/>
    <xf numFmtId="0" fontId="3" fillId="5" borderId="0" xfId="0" applyFont="1" applyFill="1"/>
    <xf numFmtId="0" fontId="10" fillId="5" borderId="19" xfId="0" applyFont="1" applyFill="1" applyBorder="1" applyAlignment="1">
      <alignment horizontal="left"/>
    </xf>
    <xf numFmtId="0" fontId="5" fillId="5" borderId="0" xfId="0" applyFont="1" applyFill="1"/>
    <xf numFmtId="0" fontId="16" fillId="5" borderId="0" xfId="0" applyFont="1" applyFill="1"/>
    <xf numFmtId="0" fontId="17" fillId="5" borderId="0" xfId="0" applyFont="1" applyFill="1" applyBorder="1" applyAlignment="1">
      <alignment horizontal="left" vertical="center"/>
    </xf>
    <xf numFmtId="9" fontId="17" fillId="5" borderId="0" xfId="2" applyFont="1" applyFill="1" applyBorder="1" applyAlignment="1">
      <alignment horizontal="left"/>
    </xf>
    <xf numFmtId="39" fontId="0" fillId="5" borderId="0" xfId="0" applyNumberFormat="1" applyFill="1"/>
    <xf numFmtId="164" fontId="5" fillId="5" borderId="0" xfId="1" applyFont="1" applyFill="1"/>
    <xf numFmtId="164" fontId="5" fillId="5" borderId="0" xfId="0" applyNumberFormat="1" applyFont="1" applyFill="1"/>
    <xf numFmtId="164" fontId="17" fillId="5" borderId="0" xfId="0" applyNumberFormat="1" applyFont="1" applyFill="1" applyAlignment="1">
      <alignment horizontal="left" vertical="center"/>
    </xf>
    <xf numFmtId="9" fontId="17" fillId="5" borderId="0" xfId="2" applyFont="1" applyFill="1" applyAlignment="1">
      <alignment horizontal="center"/>
    </xf>
    <xf numFmtId="164" fontId="0" fillId="5" borderId="0" xfId="0" applyNumberFormat="1" applyFill="1" applyBorder="1"/>
    <xf numFmtId="164" fontId="5" fillId="5" borderId="0" xfId="0" applyNumberFormat="1" applyFont="1" applyFill="1" applyBorder="1"/>
    <xf numFmtId="164" fontId="11" fillId="5" borderId="0" xfId="1" applyFont="1" applyFill="1"/>
    <xf numFmtId="0" fontId="16" fillId="5" borderId="0" xfId="0" applyFont="1" applyFill="1" applyBorder="1" applyAlignment="1">
      <alignment horizontal="left"/>
    </xf>
    <xf numFmtId="9" fontId="17" fillId="5" borderId="0" xfId="2" applyFont="1" applyFill="1" applyBorder="1" applyAlignment="1">
      <alignment horizontal="center"/>
    </xf>
    <xf numFmtId="164" fontId="4" fillId="5" borderId="24" xfId="0" applyNumberFormat="1" applyFont="1" applyFill="1" applyBorder="1"/>
    <xf numFmtId="0" fontId="16" fillId="6" borderId="26" xfId="0" applyFont="1" applyFill="1" applyBorder="1" applyAlignment="1">
      <alignment horizontal="center"/>
    </xf>
    <xf numFmtId="0" fontId="16" fillId="6" borderId="27" xfId="0" applyFont="1" applyFill="1" applyBorder="1" applyAlignment="1">
      <alignment horizontal="center"/>
    </xf>
    <xf numFmtId="168" fontId="17" fillId="5" borderId="30" xfId="0" applyNumberFormat="1" applyFont="1" applyFill="1" applyBorder="1" applyAlignment="1" applyProtection="1">
      <alignment horizontal="center" vertical="center"/>
      <protection locked="0"/>
    </xf>
    <xf numFmtId="164" fontId="17" fillId="5" borderId="30" xfId="0" applyNumberFormat="1" applyFont="1" applyFill="1" applyBorder="1" applyAlignment="1">
      <alignment vertical="center"/>
    </xf>
    <xf numFmtId="164" fontId="17" fillId="5" borderId="31" xfId="0" applyNumberFormat="1" applyFont="1" applyFill="1" applyBorder="1" applyAlignment="1">
      <alignment vertical="center"/>
    </xf>
    <xf numFmtId="0" fontId="5" fillId="5" borderId="0" xfId="0" applyFont="1" applyFill="1" applyAlignment="1">
      <alignment horizontal="left" vertical="center"/>
    </xf>
    <xf numFmtId="0" fontId="10" fillId="6" borderId="15" xfId="0" applyFont="1" applyFill="1" applyBorder="1" applyAlignment="1">
      <alignment vertical="center"/>
    </xf>
    <xf numFmtId="0" fontId="10" fillId="6" borderId="32" xfId="0" applyFont="1" applyFill="1" applyBorder="1" applyAlignment="1">
      <alignment vertical="center"/>
    </xf>
    <xf numFmtId="169" fontId="10" fillId="6" borderId="32" xfId="0" applyNumberFormat="1" applyFont="1" applyFill="1" applyBorder="1" applyAlignment="1">
      <alignment horizontal="center" vertical="center"/>
    </xf>
    <xf numFmtId="0" fontId="10" fillId="6" borderId="32" xfId="0" applyFont="1" applyFill="1" applyBorder="1" applyAlignment="1">
      <alignment horizontal="center" vertical="center"/>
    </xf>
    <xf numFmtId="164" fontId="10" fillId="6" borderId="32" xfId="0" applyNumberFormat="1" applyFont="1" applyFill="1" applyBorder="1" applyAlignment="1">
      <alignment vertical="center"/>
    </xf>
    <xf numFmtId="0" fontId="10" fillId="6" borderId="33" xfId="0" applyFont="1" applyFill="1" applyBorder="1" applyAlignment="1">
      <alignment vertical="center"/>
    </xf>
    <xf numFmtId="169" fontId="0" fillId="5" borderId="0" xfId="0" applyNumberFormat="1" applyFill="1" applyAlignment="1">
      <alignment horizontal="center"/>
    </xf>
    <xf numFmtId="164" fontId="3" fillId="5" borderId="0" xfId="1" applyFont="1" applyFill="1"/>
    <xf numFmtId="0" fontId="18" fillId="5" borderId="0" xfId="0" applyFont="1" applyFill="1"/>
    <xf numFmtId="0" fontId="20" fillId="5" borderId="0" xfId="0" applyFont="1" applyFill="1" applyBorder="1"/>
    <xf numFmtId="0" fontId="21" fillId="5" borderId="0" xfId="0" applyFont="1" applyFill="1"/>
    <xf numFmtId="0" fontId="22" fillId="5" borderId="0" xfId="0" applyFont="1" applyFill="1"/>
    <xf numFmtId="0" fontId="23" fillId="5" borderId="0" xfId="0" applyFont="1" applyFill="1"/>
    <xf numFmtId="0" fontId="0" fillId="5" borderId="0" xfId="0" applyFont="1" applyFill="1"/>
    <xf numFmtId="0" fontId="25" fillId="5" borderId="0" xfId="0" applyFont="1" applyFill="1"/>
    <xf numFmtId="9" fontId="17" fillId="5" borderId="0" xfId="2" applyNumberFormat="1" applyFont="1" applyFill="1" applyAlignment="1" applyProtection="1">
      <alignment horizontal="center" vertical="center"/>
      <protection locked="0"/>
    </xf>
    <xf numFmtId="168" fontId="17" fillId="5" borderId="35" xfId="0" applyNumberFormat="1" applyFont="1" applyFill="1" applyBorder="1" applyAlignment="1" applyProtection="1">
      <alignment horizontal="center" vertical="center"/>
      <protection locked="0"/>
    </xf>
    <xf numFmtId="164" fontId="17" fillId="5" borderId="35" xfId="0" applyNumberFormat="1" applyFont="1" applyFill="1" applyBorder="1" applyAlignment="1">
      <alignment vertical="center"/>
    </xf>
    <xf numFmtId="164" fontId="17" fillId="5" borderId="36" xfId="0" applyNumberFormat="1" applyFont="1" applyFill="1" applyBorder="1" applyAlignment="1">
      <alignment vertical="center"/>
    </xf>
    <xf numFmtId="168" fontId="17" fillId="5" borderId="37" xfId="0" applyNumberFormat="1" applyFont="1" applyFill="1" applyBorder="1" applyAlignment="1" applyProtection="1">
      <alignment horizontal="center" vertical="center"/>
      <protection locked="0"/>
    </xf>
    <xf numFmtId="0" fontId="17" fillId="5" borderId="37" xfId="0" applyFont="1" applyFill="1" applyBorder="1" applyAlignment="1">
      <alignment horizontal="center" vertical="center"/>
    </xf>
    <xf numFmtId="164" fontId="17" fillId="5" borderId="37" xfId="0" applyNumberFormat="1" applyFont="1" applyFill="1" applyBorder="1" applyAlignment="1">
      <alignment vertical="center"/>
    </xf>
    <xf numFmtId="164" fontId="17" fillId="5" borderId="38" xfId="0" applyNumberFormat="1" applyFont="1" applyFill="1" applyBorder="1" applyAlignment="1">
      <alignment vertical="center"/>
    </xf>
    <xf numFmtId="166" fontId="17" fillId="5" borderId="0" xfId="2" applyNumberFormat="1" applyFont="1" applyFill="1" applyAlignment="1" applyProtection="1">
      <alignment horizontal="center" vertical="center"/>
      <protection locked="0"/>
    </xf>
    <xf numFmtId="0" fontId="16" fillId="6" borderId="42" xfId="0" applyFont="1" applyFill="1" applyBorder="1" applyAlignment="1">
      <alignment horizontal="center"/>
    </xf>
    <xf numFmtId="0" fontId="16" fillId="6" borderId="43" xfId="0" applyFont="1" applyFill="1" applyBorder="1" applyAlignment="1">
      <alignment horizontal="center"/>
    </xf>
    <xf numFmtId="0" fontId="10" fillId="6" borderId="21" xfId="0" applyFont="1" applyFill="1" applyBorder="1" applyAlignment="1">
      <alignment vertical="center"/>
    </xf>
    <xf numFmtId="0" fontId="10" fillId="6" borderId="22" xfId="0" applyFont="1" applyFill="1" applyBorder="1" applyAlignment="1">
      <alignment vertical="center"/>
    </xf>
    <xf numFmtId="169" fontId="10" fillId="6" borderId="22" xfId="0" applyNumberFormat="1" applyFont="1" applyFill="1" applyBorder="1" applyAlignment="1">
      <alignment horizontal="center" vertical="center"/>
    </xf>
    <xf numFmtId="0" fontId="10" fillId="6" borderId="22" xfId="0" applyFont="1" applyFill="1" applyBorder="1" applyAlignment="1">
      <alignment horizontal="center" vertical="center"/>
    </xf>
    <xf numFmtId="164" fontId="10" fillId="6" borderId="22" xfId="0" applyNumberFormat="1" applyFont="1" applyFill="1" applyBorder="1" applyAlignment="1">
      <alignment vertical="center"/>
    </xf>
    <xf numFmtId="0" fontId="10" fillId="6" borderId="23" xfId="0" applyFont="1" applyFill="1" applyBorder="1" applyAlignment="1">
      <alignment vertical="center"/>
    </xf>
    <xf numFmtId="0" fontId="27" fillId="5" borderId="0" xfId="0" applyFont="1" applyFill="1" applyBorder="1" applyAlignment="1">
      <alignment horizontal="left"/>
    </xf>
    <xf numFmtId="9" fontId="5" fillId="5" borderId="0" xfId="2" applyFont="1" applyFill="1"/>
    <xf numFmtId="0" fontId="5" fillId="2" borderId="0" xfId="0" applyFont="1" applyFill="1" applyBorder="1"/>
    <xf numFmtId="0" fontId="11" fillId="5" borderId="0" xfId="0" applyFont="1" applyFill="1"/>
    <xf numFmtId="0" fontId="8" fillId="2" borderId="0" xfId="3" applyFill="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164" fontId="27" fillId="5" borderId="0" xfId="0" applyNumberFormat="1" applyFont="1" applyFill="1" applyAlignment="1">
      <alignment horizontal="left" vertical="center"/>
    </xf>
    <xf numFmtId="0" fontId="30" fillId="5" borderId="0" xfId="0" applyFont="1" applyFill="1"/>
    <xf numFmtId="0" fontId="30" fillId="5" borderId="0" xfId="0" applyFont="1" applyFill="1" applyAlignment="1">
      <alignment horizontal="left" vertical="center"/>
    </xf>
    <xf numFmtId="9" fontId="17" fillId="5" borderId="0" xfId="2" applyFont="1" applyFill="1" applyAlignment="1">
      <alignment horizontal="center" vertical="center"/>
    </xf>
    <xf numFmtId="0" fontId="8" fillId="0" borderId="0" xfId="3" applyAlignment="1" applyProtection="1">
      <alignment horizontal="center" vertical="center"/>
      <protection locked="0"/>
    </xf>
    <xf numFmtId="0" fontId="7" fillId="2" borderId="12" xfId="0" applyFont="1" applyFill="1" applyBorder="1" applyAlignment="1" applyProtection="1">
      <alignment horizontal="center" vertical="center"/>
    </xf>
    <xf numFmtId="164" fontId="17" fillId="5" borderId="53" xfId="0" applyNumberFormat="1" applyFont="1" applyFill="1" applyBorder="1" applyAlignment="1">
      <alignment vertical="center"/>
    </xf>
    <xf numFmtId="0" fontId="8" fillId="2" borderId="0" xfId="3" applyFill="1" applyAlignment="1" applyProtection="1">
      <alignment horizontal="center"/>
      <protection locked="0"/>
    </xf>
    <xf numFmtId="9" fontId="17" fillId="5" borderId="0" xfId="2" applyNumberFormat="1" applyFont="1" applyFill="1" applyAlignment="1" applyProtection="1">
      <alignment horizontal="center" vertical="center"/>
    </xf>
    <xf numFmtId="9" fontId="5" fillId="5" borderId="0" xfId="0" applyNumberFormat="1" applyFont="1" applyFill="1" applyBorder="1"/>
    <xf numFmtId="169" fontId="27" fillId="5" borderId="0" xfId="0" applyNumberFormat="1" applyFont="1" applyFill="1" applyBorder="1" applyAlignment="1" applyProtection="1">
      <alignment horizontal="center" vertical="center"/>
      <protection locked="0"/>
    </xf>
    <xf numFmtId="0" fontId="32" fillId="5" borderId="0" xfId="3" applyFont="1" applyFill="1" applyAlignment="1" applyProtection="1">
      <protection locked="0"/>
    </xf>
    <xf numFmtId="164" fontId="17" fillId="5" borderId="56" xfId="0" applyNumberFormat="1" applyFont="1" applyFill="1" applyBorder="1" applyAlignment="1">
      <alignment vertical="center"/>
    </xf>
    <xf numFmtId="164" fontId="17" fillId="5" borderId="57" xfId="0" applyNumberFormat="1" applyFont="1" applyFill="1" applyBorder="1" applyAlignment="1">
      <alignment vertical="center"/>
    </xf>
    <xf numFmtId="164" fontId="17" fillId="5" borderId="58" xfId="0" applyNumberFormat="1" applyFont="1" applyFill="1" applyBorder="1" applyAlignment="1">
      <alignment vertical="center"/>
    </xf>
    <xf numFmtId="0" fontId="3" fillId="5" borderId="0" xfId="0" applyFont="1" applyFill="1" applyBorder="1"/>
    <xf numFmtId="0" fontId="33" fillId="5" borderId="0" xfId="0" applyFont="1" applyFill="1"/>
    <xf numFmtId="0" fontId="19" fillId="5" borderId="0" xfId="0" applyFont="1" applyFill="1" applyAlignment="1">
      <alignment vertical="center" wrapText="1"/>
    </xf>
    <xf numFmtId="164" fontId="0" fillId="5" borderId="0" xfId="0" applyNumberFormat="1" applyFill="1" applyBorder="1" applyProtection="1"/>
    <xf numFmtId="164" fontId="3" fillId="5" borderId="0" xfId="0" applyNumberFormat="1" applyFont="1" applyFill="1"/>
    <xf numFmtId="164" fontId="17" fillId="5" borderId="0" xfId="0" applyNumberFormat="1" applyFont="1" applyFill="1" applyAlignment="1" applyProtection="1">
      <alignment horizontal="left" vertical="center" indent="2"/>
    </xf>
    <xf numFmtId="164" fontId="17" fillId="5" borderId="0" xfId="0" applyNumberFormat="1" applyFont="1" applyFill="1" applyAlignment="1">
      <alignment horizontal="left" vertical="center" indent="2"/>
    </xf>
    <xf numFmtId="0" fontId="5" fillId="5" borderId="0" xfId="0" applyFont="1" applyFill="1" applyAlignment="1">
      <alignment horizontal="left" indent="3"/>
    </xf>
    <xf numFmtId="9" fontId="5" fillId="5" borderId="0" xfId="0" applyNumberFormat="1" applyFont="1" applyFill="1"/>
    <xf numFmtId="164" fontId="17" fillId="5" borderId="59" xfId="0" applyNumberFormat="1" applyFont="1" applyFill="1" applyBorder="1" applyAlignment="1">
      <alignment vertical="center"/>
    </xf>
    <xf numFmtId="164" fontId="3" fillId="5" borderId="0" xfId="0" applyNumberFormat="1" applyFont="1" applyFill="1" applyBorder="1"/>
    <xf numFmtId="164" fontId="33" fillId="5" borderId="0" xfId="1" applyFont="1" applyFill="1"/>
    <xf numFmtId="164" fontId="10" fillId="6" borderId="32" xfId="0" applyNumberFormat="1" applyFont="1" applyFill="1" applyBorder="1" applyAlignment="1">
      <alignment horizontal="center" vertical="center"/>
    </xf>
    <xf numFmtId="0" fontId="0" fillId="2" borderId="0" xfId="0" applyFill="1" applyAlignment="1">
      <alignment horizontal="center" vertical="center"/>
    </xf>
    <xf numFmtId="0" fontId="34" fillId="2" borderId="0" xfId="3" applyFont="1" applyFill="1" applyAlignment="1" applyProtection="1">
      <alignment horizontal="center" vertical="center"/>
      <protection locked="0"/>
    </xf>
    <xf numFmtId="0" fontId="7" fillId="2" borderId="13" xfId="0" applyFont="1" applyFill="1" applyBorder="1" applyAlignment="1" applyProtection="1">
      <alignment horizontal="center" vertical="center"/>
    </xf>
    <xf numFmtId="165" fontId="9" fillId="2" borderId="14" xfId="0" applyNumberFormat="1" applyFont="1" applyFill="1" applyBorder="1" applyAlignment="1" applyProtection="1">
      <alignment horizontal="center" vertical="center"/>
    </xf>
    <xf numFmtId="4" fontId="9" fillId="2" borderId="12" xfId="0" applyNumberFormat="1" applyFont="1" applyFill="1" applyBorder="1" applyAlignment="1" applyProtection="1">
      <alignment horizontal="center" vertical="center"/>
    </xf>
    <xf numFmtId="165" fontId="9" fillId="2" borderId="0" xfId="0" applyNumberFormat="1" applyFont="1"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wrapText="1"/>
    </xf>
    <xf numFmtId="0" fontId="14" fillId="5" borderId="0" xfId="0" applyFont="1" applyFill="1" applyBorder="1" applyAlignment="1">
      <alignment horizontal="left"/>
    </xf>
    <xf numFmtId="0" fontId="8" fillId="2" borderId="0" xfId="3" applyFill="1" applyAlignment="1" applyProtection="1">
      <alignment horizontal="center" vertical="center"/>
    </xf>
    <xf numFmtId="0" fontId="4" fillId="2" borderId="0" xfId="0" applyFont="1" applyFill="1" applyAlignment="1" applyProtection="1">
      <alignment horizontal="center" vertical="center"/>
    </xf>
    <xf numFmtId="0" fontId="2" fillId="5" borderId="0" xfId="0" applyFont="1" applyFill="1"/>
    <xf numFmtId="0" fontId="17" fillId="5" borderId="35" xfId="0" applyFont="1" applyFill="1" applyBorder="1" applyAlignment="1">
      <alignment horizontal="center" vertical="center"/>
    </xf>
    <xf numFmtId="0" fontId="36" fillId="5" borderId="0" xfId="0" applyFont="1" applyFill="1" applyAlignment="1">
      <alignment horizontal="left" vertical="center" wrapText="1"/>
    </xf>
    <xf numFmtId="0" fontId="35" fillId="5" borderId="0" xfId="0" applyFont="1" applyFill="1" applyAlignment="1">
      <alignment horizontal="left" vertical="center" wrapText="1"/>
    </xf>
    <xf numFmtId="0" fontId="10" fillId="5" borderId="21" xfId="0" applyFont="1" applyFill="1" applyBorder="1" applyAlignment="1">
      <alignment horizontal="left"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0" fontId="17" fillId="5" borderId="53" xfId="0" applyFont="1" applyFill="1" applyBorder="1" applyAlignment="1">
      <alignment horizontal="center" vertical="center"/>
    </xf>
    <xf numFmtId="0" fontId="17" fillId="5" borderId="30" xfId="0" applyFont="1" applyFill="1" applyBorder="1" applyAlignment="1">
      <alignment horizontal="center" vertical="center"/>
    </xf>
    <xf numFmtId="0" fontId="5" fillId="2" borderId="0" xfId="0" applyFont="1" applyFill="1"/>
    <xf numFmtId="0" fontId="17" fillId="5" borderId="35" xfId="0" applyFont="1" applyFill="1" applyBorder="1" applyAlignment="1">
      <alignment horizontal="center"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0" fontId="17" fillId="5" borderId="30" xfId="0" applyFont="1" applyFill="1" applyBorder="1" applyAlignment="1">
      <alignment horizontal="center" vertical="center"/>
    </xf>
    <xf numFmtId="0" fontId="10" fillId="5" borderId="19" xfId="0" applyFont="1" applyFill="1" applyBorder="1" applyAlignment="1">
      <alignment vertical="center"/>
    </xf>
    <xf numFmtId="0" fontId="10" fillId="5" borderId="21" xfId="0" applyFont="1" applyFill="1" applyBorder="1" applyAlignment="1">
      <alignment vertical="center"/>
    </xf>
    <xf numFmtId="4" fontId="9" fillId="2" borderId="0" xfId="0" applyNumberFormat="1" applyFont="1" applyFill="1" applyBorder="1" applyAlignment="1">
      <alignment horizontal="center" vertical="center"/>
    </xf>
    <xf numFmtId="0" fontId="17" fillId="5" borderId="35" xfId="0" applyFont="1" applyFill="1" applyBorder="1" applyAlignment="1">
      <alignment horizontal="center"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0" fontId="17" fillId="5" borderId="30" xfId="0" applyFont="1" applyFill="1" applyBorder="1" applyAlignment="1">
      <alignment horizontal="center" vertical="center"/>
    </xf>
    <xf numFmtId="164" fontId="22" fillId="5" borderId="0" xfId="1" applyFont="1" applyFill="1"/>
    <xf numFmtId="0" fontId="37" fillId="5" borderId="0" xfId="0" applyFont="1" applyFill="1" applyBorder="1"/>
    <xf numFmtId="0" fontId="22" fillId="5" borderId="0" xfId="0" applyFont="1" applyFill="1" applyBorder="1"/>
    <xf numFmtId="0" fontId="14" fillId="5" borderId="0" xfId="0" applyFont="1" applyFill="1" applyBorder="1" applyAlignment="1"/>
    <xf numFmtId="164" fontId="22" fillId="5" borderId="0" xfId="0" applyNumberFormat="1" applyFont="1" applyFill="1"/>
    <xf numFmtId="164" fontId="37" fillId="5" borderId="0" xfId="1" applyFont="1" applyFill="1"/>
    <xf numFmtId="0" fontId="38" fillId="6" borderId="42" xfId="0" applyFont="1" applyFill="1" applyBorder="1" applyAlignment="1">
      <alignment horizontal="center"/>
    </xf>
    <xf numFmtId="0" fontId="23" fillId="5" borderId="37" xfId="0" applyFont="1" applyFill="1" applyBorder="1" applyAlignment="1">
      <alignment horizontal="center" vertical="center"/>
    </xf>
    <xf numFmtId="164" fontId="23" fillId="5" borderId="37" xfId="0" applyNumberFormat="1" applyFont="1" applyFill="1" applyBorder="1" applyAlignment="1">
      <alignment vertical="center"/>
    </xf>
    <xf numFmtId="164" fontId="23" fillId="5" borderId="59" xfId="0" applyNumberFormat="1" applyFont="1" applyFill="1" applyBorder="1" applyAlignment="1">
      <alignment vertical="center"/>
    </xf>
    <xf numFmtId="0" fontId="23" fillId="5" borderId="35" xfId="0" applyFont="1" applyFill="1" applyBorder="1" applyAlignment="1">
      <alignment horizontal="center" vertical="center"/>
    </xf>
    <xf numFmtId="164" fontId="23" fillId="5" borderId="35" xfId="0" applyNumberFormat="1" applyFont="1" applyFill="1" applyBorder="1" applyAlignment="1">
      <alignment vertical="center"/>
    </xf>
    <xf numFmtId="164" fontId="23" fillId="5" borderId="57" xfId="0" applyNumberFormat="1" applyFont="1" applyFill="1" applyBorder="1" applyAlignment="1">
      <alignment vertical="center"/>
    </xf>
    <xf numFmtId="0" fontId="14" fillId="6" borderId="22" xfId="0" applyFont="1" applyFill="1" applyBorder="1" applyAlignment="1">
      <alignment horizontal="center" vertical="center"/>
    </xf>
    <xf numFmtId="164" fontId="14" fillId="6" borderId="22" xfId="0" applyNumberFormat="1" applyFont="1" applyFill="1" applyBorder="1" applyAlignment="1">
      <alignment vertical="center"/>
    </xf>
    <xf numFmtId="0" fontId="37" fillId="5" borderId="0" xfId="0" applyFont="1" applyFill="1"/>
    <xf numFmtId="0" fontId="17" fillId="5" borderId="35" xfId="0" applyFont="1" applyFill="1" applyBorder="1" applyAlignment="1">
      <alignment horizontal="center"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0" fontId="17" fillId="5" borderId="30" xfId="0" applyFont="1" applyFill="1" applyBorder="1" applyAlignment="1">
      <alignment horizontal="center" vertical="center"/>
    </xf>
    <xf numFmtId="0" fontId="8" fillId="2" borderId="0" xfId="3" applyFill="1" applyAlignment="1" applyProtection="1"/>
    <xf numFmtId="0" fontId="17" fillId="5" borderId="35" xfId="0" applyFont="1" applyFill="1" applyBorder="1" applyAlignment="1">
      <alignment horizontal="center"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0" fontId="17" fillId="5" borderId="35" xfId="0" applyFont="1" applyFill="1" applyBorder="1" applyAlignment="1">
      <alignment horizontal="center" vertical="center"/>
    </xf>
    <xf numFmtId="171" fontId="9" fillId="2" borderId="12" xfId="0" applyNumberFormat="1" applyFont="1" applyFill="1" applyBorder="1" applyAlignment="1">
      <alignment horizontal="center" vertical="center"/>
    </xf>
    <xf numFmtId="0" fontId="17" fillId="5" borderId="35" xfId="0" applyFont="1" applyFill="1" applyBorder="1" applyAlignment="1">
      <alignment horizontal="center" vertical="center"/>
    </xf>
    <xf numFmtId="0" fontId="17" fillId="5" borderId="30" xfId="0" applyFont="1" applyFill="1" applyBorder="1" applyAlignment="1">
      <alignment horizontal="center" vertical="center"/>
    </xf>
    <xf numFmtId="168" fontId="17" fillId="5" borderId="63" xfId="0" applyNumberFormat="1" applyFont="1" applyFill="1" applyBorder="1" applyAlignment="1" applyProtection="1">
      <alignment horizontal="center" vertical="center"/>
      <protection locked="0"/>
    </xf>
    <xf numFmtId="0" fontId="23" fillId="5" borderId="63" xfId="0" applyFont="1" applyFill="1" applyBorder="1" applyAlignment="1">
      <alignment horizontal="center" vertical="center"/>
    </xf>
    <xf numFmtId="164" fontId="23" fillId="5" borderId="63" xfId="0" applyNumberFormat="1" applyFont="1" applyFill="1" applyBorder="1" applyAlignment="1">
      <alignment vertical="center"/>
    </xf>
    <xf numFmtId="164" fontId="23" fillId="5" borderId="64" xfId="0" applyNumberFormat="1" applyFont="1" applyFill="1" applyBorder="1" applyAlignment="1">
      <alignment vertical="center"/>
    </xf>
    <xf numFmtId="164" fontId="17" fillId="5" borderId="65" xfId="0" applyNumberFormat="1" applyFont="1" applyFill="1" applyBorder="1" applyAlignment="1">
      <alignment vertical="center"/>
    </xf>
    <xf numFmtId="164" fontId="17" fillId="5" borderId="67" xfId="0" applyNumberFormat="1" applyFont="1" applyFill="1" applyBorder="1" applyAlignment="1">
      <alignment vertical="center"/>
    </xf>
    <xf numFmtId="164" fontId="17" fillId="5" borderId="69" xfId="0" applyNumberFormat="1" applyFont="1" applyFill="1" applyBorder="1" applyAlignment="1">
      <alignment vertical="center"/>
    </xf>
    <xf numFmtId="168" fontId="17" fillId="5" borderId="71" xfId="0" applyNumberFormat="1" applyFont="1" applyFill="1" applyBorder="1" applyAlignment="1" applyProtection="1">
      <alignment horizontal="center" vertical="center"/>
      <protection locked="0"/>
    </xf>
    <xf numFmtId="0" fontId="23" fillId="5" borderId="71" xfId="0" applyFont="1" applyFill="1" applyBorder="1" applyAlignment="1">
      <alignment horizontal="center" vertical="center"/>
    </xf>
    <xf numFmtId="164" fontId="23" fillId="5" borderId="71" xfId="0" applyNumberFormat="1" applyFont="1" applyFill="1" applyBorder="1" applyAlignment="1">
      <alignment vertical="center"/>
    </xf>
    <xf numFmtId="164" fontId="17" fillId="5" borderId="72" xfId="0" applyNumberFormat="1" applyFont="1" applyFill="1" applyBorder="1" applyAlignment="1">
      <alignment vertical="center"/>
    </xf>
    <xf numFmtId="0" fontId="17" fillId="5" borderId="63" xfId="0" applyFont="1" applyFill="1" applyBorder="1" applyAlignment="1">
      <alignment horizontal="center" vertical="center"/>
    </xf>
    <xf numFmtId="164" fontId="17" fillId="5" borderId="63" xfId="0" applyNumberFormat="1" applyFont="1" applyFill="1" applyBorder="1" applyAlignment="1">
      <alignment vertical="center"/>
    </xf>
    <xf numFmtId="0" fontId="17" fillId="5" borderId="71" xfId="0" applyFont="1" applyFill="1" applyBorder="1" applyAlignment="1">
      <alignment horizontal="center" vertical="center"/>
    </xf>
    <xf numFmtId="164" fontId="17" fillId="5" borderId="71" xfId="0" applyNumberFormat="1" applyFont="1" applyFill="1" applyBorder="1" applyAlignment="1">
      <alignment vertical="center"/>
    </xf>
    <xf numFmtId="168" fontId="17" fillId="5" borderId="75" xfId="0" applyNumberFormat="1" applyFont="1" applyFill="1" applyBorder="1" applyAlignment="1" applyProtection="1">
      <alignment horizontal="center" vertical="center"/>
      <protection locked="0"/>
    </xf>
    <xf numFmtId="0" fontId="17" fillId="5" borderId="75" xfId="0" applyFont="1" applyFill="1" applyBorder="1" applyAlignment="1">
      <alignment horizontal="center" vertical="center"/>
    </xf>
    <xf numFmtId="164" fontId="17" fillId="5" borderId="75" xfId="0" applyNumberFormat="1" applyFont="1" applyFill="1" applyBorder="1" applyAlignment="1">
      <alignment vertical="center"/>
    </xf>
    <xf numFmtId="164" fontId="17" fillId="5" borderId="76" xfId="0" applyNumberFormat="1" applyFont="1" applyFill="1" applyBorder="1" applyAlignment="1">
      <alignment vertical="center"/>
    </xf>
    <xf numFmtId="172" fontId="0" fillId="5" borderId="0" xfId="0" applyNumberFormat="1" applyFill="1" applyBorder="1"/>
    <xf numFmtId="43" fontId="0" fillId="5" borderId="0" xfId="0" applyNumberFormat="1" applyFill="1"/>
    <xf numFmtId="0" fontId="17" fillId="5" borderId="35" xfId="0" applyFont="1" applyFill="1" applyBorder="1" applyAlignment="1">
      <alignment horizontal="center" vertical="center"/>
    </xf>
    <xf numFmtId="0" fontId="5" fillId="2" borderId="0" xfId="0" applyFont="1" applyFill="1" applyAlignment="1">
      <alignment vertical="center"/>
    </xf>
    <xf numFmtId="15" fontId="5" fillId="2" borderId="0" xfId="0" applyNumberFormat="1" applyFont="1" applyFill="1" applyAlignment="1">
      <alignment vertical="center"/>
    </xf>
    <xf numFmtId="3" fontId="5" fillId="2" borderId="0" xfId="0" applyNumberFormat="1" applyFont="1" applyFill="1" applyAlignment="1">
      <alignment vertical="center"/>
    </xf>
    <xf numFmtId="4" fontId="5" fillId="2" borderId="0" xfId="0" applyNumberFormat="1" applyFont="1" applyFill="1" applyAlignment="1">
      <alignment horizontal="center" vertical="center"/>
    </xf>
    <xf numFmtId="166" fontId="5" fillId="2" borderId="0" xfId="2" applyNumberFormat="1" applyFont="1" applyFill="1" applyAlignment="1">
      <alignment horizontal="center" vertical="center"/>
    </xf>
    <xf numFmtId="0" fontId="39" fillId="2" borderId="0" xfId="0" applyFont="1" applyFill="1" applyAlignment="1">
      <alignment vertical="center"/>
    </xf>
    <xf numFmtId="0" fontId="40" fillId="2" borderId="0" xfId="0" applyFont="1" applyFill="1" applyAlignment="1">
      <alignment vertical="center"/>
    </xf>
    <xf numFmtId="0" fontId="41" fillId="2" borderId="0" xfId="0" applyFont="1" applyFill="1" applyAlignment="1">
      <alignment vertical="center"/>
    </xf>
    <xf numFmtId="0" fontId="2" fillId="2" borderId="0" xfId="0" applyFont="1" applyFill="1" applyAlignment="1">
      <alignment vertical="center"/>
    </xf>
    <xf numFmtId="3" fontId="2" fillId="2" borderId="46" xfId="0" applyNumberFormat="1" applyFont="1" applyFill="1" applyBorder="1" applyAlignment="1">
      <alignment horizontal="right" vertical="center"/>
    </xf>
    <xf numFmtId="3" fontId="2" fillId="2" borderId="47" xfId="0" applyNumberFormat="1" applyFont="1" applyFill="1" applyBorder="1" applyAlignment="1">
      <alignment horizontal="left" vertical="center"/>
    </xf>
    <xf numFmtId="4" fontId="2" fillId="2" borderId="0" xfId="0" applyNumberFormat="1" applyFont="1" applyFill="1" applyAlignment="1">
      <alignment horizontal="center" vertical="center"/>
    </xf>
    <xf numFmtId="166" fontId="2" fillId="2" borderId="0" xfId="2" applyNumberFormat="1" applyFont="1" applyFill="1" applyAlignment="1">
      <alignment horizontal="center" vertical="center"/>
    </xf>
    <xf numFmtId="0" fontId="2" fillId="9" borderId="48" xfId="0" applyFont="1" applyFill="1" applyBorder="1" applyAlignment="1">
      <alignment horizontal="center" vertical="center"/>
    </xf>
    <xf numFmtId="0" fontId="2" fillId="9" borderId="49" xfId="0" applyFont="1" applyFill="1" applyBorder="1" applyAlignment="1">
      <alignment horizontal="center" vertical="center"/>
    </xf>
    <xf numFmtId="3" fontId="2" fillId="9" borderId="49" xfId="0" applyNumberFormat="1" applyFont="1" applyFill="1" applyBorder="1" applyAlignment="1">
      <alignment vertical="center"/>
    </xf>
    <xf numFmtId="4" fontId="2" fillId="9" borderId="50" xfId="0" applyNumberFormat="1" applyFont="1" applyFill="1" applyBorder="1" applyAlignment="1">
      <alignment horizontal="center" vertical="center"/>
    </xf>
    <xf numFmtId="4" fontId="2" fillId="9" borderId="50" xfId="0" applyNumberFormat="1" applyFont="1" applyFill="1" applyBorder="1" applyAlignment="1">
      <alignment horizontal="center" vertical="center" wrapText="1"/>
    </xf>
    <xf numFmtId="166" fontId="2" fillId="9" borderId="54" xfId="2" applyNumberFormat="1" applyFont="1" applyFill="1" applyBorder="1" applyAlignment="1">
      <alignment horizontal="center" vertical="center"/>
    </xf>
    <xf numFmtId="0" fontId="2" fillId="9" borderId="50" xfId="0" applyFont="1" applyFill="1" applyBorder="1" applyAlignment="1">
      <alignment horizontal="center" vertical="center"/>
    </xf>
    <xf numFmtId="0" fontId="2" fillId="2" borderId="0" xfId="0" applyFont="1" applyFill="1" applyAlignment="1">
      <alignment horizontal="center" vertical="center"/>
    </xf>
    <xf numFmtId="0" fontId="5" fillId="2" borderId="45" xfId="0" applyFont="1" applyFill="1" applyBorder="1" applyAlignment="1">
      <alignment horizontal="center" vertical="center"/>
    </xf>
    <xf numFmtId="4" fontId="5" fillId="2" borderId="45" xfId="0" applyNumberFormat="1" applyFont="1" applyFill="1" applyBorder="1" applyAlignment="1">
      <alignment horizontal="center" vertical="center"/>
    </xf>
    <xf numFmtId="4" fontId="5" fillId="2" borderId="50" xfId="0" applyNumberFormat="1" applyFont="1" applyFill="1" applyBorder="1" applyAlignment="1">
      <alignment horizontal="center" vertical="center"/>
    </xf>
    <xf numFmtId="0" fontId="5" fillId="2" borderId="60" xfId="0" applyFont="1" applyFill="1" applyBorder="1" applyAlignment="1">
      <alignment horizontal="center" vertical="center"/>
    </xf>
    <xf numFmtId="164" fontId="0" fillId="5" borderId="0" xfId="0" applyNumberFormat="1" applyFill="1" applyAlignment="1" applyProtection="1">
      <alignment vertical="center"/>
      <protection hidden="1"/>
    </xf>
    <xf numFmtId="0" fontId="3" fillId="2" borderId="45" xfId="0" applyFont="1" applyFill="1" applyBorder="1" applyAlignment="1">
      <alignment horizontal="center" vertical="center"/>
    </xf>
    <xf numFmtId="4" fontId="3" fillId="2" borderId="45" xfId="0" applyNumberFormat="1" applyFont="1" applyFill="1" applyBorder="1" applyAlignment="1">
      <alignment horizontal="center" vertical="center"/>
    </xf>
    <xf numFmtId="4" fontId="3" fillId="2" borderId="50" xfId="0" applyNumberFormat="1" applyFont="1" applyFill="1" applyBorder="1" applyAlignment="1">
      <alignment horizontal="center" vertical="center"/>
    </xf>
    <xf numFmtId="166" fontId="3" fillId="2" borderId="55" xfId="2" applyNumberFormat="1" applyFont="1" applyFill="1" applyBorder="1" applyAlignment="1">
      <alignment horizontal="center" vertical="center"/>
    </xf>
    <xf numFmtId="0" fontId="3" fillId="2" borderId="52"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170" fontId="3" fillId="2" borderId="0" xfId="1" applyNumberFormat="1" applyFont="1" applyFill="1" applyAlignment="1">
      <alignment horizontal="center" vertical="center"/>
    </xf>
    <xf numFmtId="170" fontId="3" fillId="2" borderId="0" xfId="0" applyNumberFormat="1" applyFont="1" applyFill="1" applyAlignment="1">
      <alignment horizontal="center" vertical="center"/>
    </xf>
    <xf numFmtId="0" fontId="3" fillId="2" borderId="60" xfId="0" applyFont="1" applyFill="1" applyBorder="1" applyAlignment="1">
      <alignment horizontal="center" vertical="center"/>
    </xf>
    <xf numFmtId="164" fontId="3" fillId="2" borderId="45" xfId="1" applyFont="1" applyFill="1" applyBorder="1" applyAlignment="1">
      <alignment horizontal="center" vertical="center"/>
    </xf>
    <xf numFmtId="3" fontId="3" fillId="2" borderId="51" xfId="0" applyNumberFormat="1" applyFont="1" applyFill="1" applyBorder="1" applyAlignment="1">
      <alignment horizontal="center" vertical="center"/>
    </xf>
    <xf numFmtId="0" fontId="42" fillId="2" borderId="35" xfId="5" applyFont="1" applyFill="1" applyBorder="1" applyAlignment="1">
      <alignment horizontal="center" vertical="center" wrapText="1"/>
    </xf>
    <xf numFmtId="0" fontId="42" fillId="2" borderId="35" xfId="5" applyFont="1" applyFill="1" applyBorder="1" applyAlignment="1">
      <alignment horizontal="center" vertical="center"/>
    </xf>
    <xf numFmtId="164" fontId="3" fillId="2" borderId="50" xfId="1" applyFont="1" applyFill="1" applyBorder="1" applyAlignment="1">
      <alignment horizontal="center" vertical="center"/>
    </xf>
    <xf numFmtId="0" fontId="42" fillId="0" borderId="35" xfId="5" applyFont="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1"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8" fillId="2" borderId="0" xfId="3" applyFill="1" applyAlignment="1" applyProtection="1">
      <alignment horizontal="center" wrapText="1"/>
      <protection locked="0"/>
    </xf>
    <xf numFmtId="0" fontId="23" fillId="5" borderId="34" xfId="0" applyFont="1" applyFill="1" applyBorder="1" applyAlignment="1">
      <alignment horizontal="center"/>
    </xf>
    <xf numFmtId="0" fontId="19" fillId="5" borderId="0" xfId="0" applyFont="1" applyFill="1" applyAlignment="1">
      <alignment horizontal="left" vertical="center" wrapText="1"/>
    </xf>
    <xf numFmtId="0" fontId="19" fillId="5" borderId="0" xfId="0" applyFont="1" applyFill="1" applyAlignment="1">
      <alignment horizontal="left" vertical="top" wrapText="1"/>
    </xf>
    <xf numFmtId="0" fontId="24" fillId="5" borderId="0" xfId="0" applyFont="1" applyFill="1" applyAlignment="1">
      <alignment horizontal="left" vertical="center" wrapText="1"/>
    </xf>
    <xf numFmtId="0" fontId="24" fillId="5" borderId="0" xfId="0" applyFont="1" applyFill="1" applyAlignment="1">
      <alignment horizontal="justify" vertical="center" wrapText="1"/>
    </xf>
    <xf numFmtId="0" fontId="17" fillId="5" borderId="66" xfId="0" applyFont="1" applyFill="1" applyBorder="1" applyAlignment="1">
      <alignment horizontal="center" vertical="center"/>
    </xf>
    <xf numFmtId="0" fontId="17" fillId="5" borderId="35" xfId="0" applyFont="1" applyFill="1" applyBorder="1" applyAlignment="1">
      <alignment horizontal="center" vertical="center"/>
    </xf>
    <xf numFmtId="0" fontId="17" fillId="5" borderId="68" xfId="0" applyFont="1" applyFill="1" applyBorder="1" applyAlignment="1">
      <alignment horizontal="center" vertical="center"/>
    </xf>
    <xf numFmtId="0" fontId="17" fillId="5" borderId="40"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39" fontId="10" fillId="5" borderId="0" xfId="1" applyNumberFormat="1" applyFont="1" applyFill="1" applyBorder="1" applyAlignment="1">
      <alignment horizontal="left" vertical="center"/>
    </xf>
    <xf numFmtId="39" fontId="10" fillId="5" borderId="20" xfId="1" applyNumberFormat="1" applyFont="1" applyFill="1" applyBorder="1" applyAlignment="1">
      <alignment horizontal="left" vertical="center"/>
    </xf>
    <xf numFmtId="39" fontId="10" fillId="5" borderId="22" xfId="1" applyNumberFormat="1" applyFont="1" applyFill="1" applyBorder="1" applyAlignment="1">
      <alignment horizontal="left" vertical="center"/>
    </xf>
    <xf numFmtId="39" fontId="10" fillId="5" borderId="23" xfId="1" applyNumberFormat="1" applyFont="1" applyFill="1" applyBorder="1" applyAlignment="1">
      <alignment horizontal="left" vertical="center"/>
    </xf>
    <xf numFmtId="0" fontId="16" fillId="6" borderId="18" xfId="0" applyFont="1" applyFill="1" applyBorder="1" applyAlignment="1">
      <alignment horizontal="center"/>
    </xf>
    <xf numFmtId="0" fontId="16" fillId="6" borderId="41" xfId="0" applyFont="1" applyFill="1" applyBorder="1" applyAlignment="1">
      <alignment horizontal="center"/>
    </xf>
    <xf numFmtId="0" fontId="17" fillId="5" borderId="61" xfId="0" applyFont="1" applyFill="1" applyBorder="1" applyAlignment="1">
      <alignment horizontal="center" vertical="center"/>
    </xf>
    <xf numFmtId="0" fontId="17" fillId="5" borderId="62" xfId="0" applyFont="1" applyFill="1" applyBorder="1" applyAlignment="1">
      <alignment horizontal="center" vertical="center"/>
    </xf>
    <xf numFmtId="0" fontId="10" fillId="5" borderId="19" xfId="0" applyFont="1" applyFill="1" applyBorder="1" applyAlignment="1">
      <alignment horizontal="left" vertical="center"/>
    </xf>
    <xf numFmtId="0" fontId="10" fillId="5" borderId="21" xfId="0" applyFont="1" applyFill="1" applyBorder="1" applyAlignment="1">
      <alignment horizontal="left" vertical="center"/>
    </xf>
    <xf numFmtId="39" fontId="15" fillId="5" borderId="0" xfId="1" applyNumberFormat="1" applyFont="1" applyFill="1" applyBorder="1" applyAlignment="1">
      <alignment horizontal="left" vertical="center"/>
    </xf>
    <xf numFmtId="39" fontId="15" fillId="5" borderId="20" xfId="1" applyNumberFormat="1" applyFont="1" applyFill="1" applyBorder="1" applyAlignment="1">
      <alignment horizontal="left" vertical="center"/>
    </xf>
    <xf numFmtId="0" fontId="0" fillId="5" borderId="0" xfId="0" applyFill="1" applyAlignment="1">
      <alignment horizontal="center"/>
    </xf>
    <xf numFmtId="0" fontId="12" fillId="5" borderId="0" xfId="0" applyFont="1" applyFill="1" applyBorder="1" applyAlignment="1">
      <alignment horizontal="right" vertical="center"/>
    </xf>
    <xf numFmtId="0" fontId="14" fillId="6" borderId="16" xfId="0" applyFont="1" applyFill="1" applyBorder="1" applyAlignment="1">
      <alignment horizontal="left" vertical="center" wrapText="1"/>
    </xf>
    <xf numFmtId="0" fontId="14" fillId="6" borderId="17" xfId="0" applyFont="1" applyFill="1" applyBorder="1" applyAlignment="1">
      <alignment horizontal="left" vertical="center" wrapText="1"/>
    </xf>
    <xf numFmtId="0" fontId="10" fillId="5" borderId="16" xfId="0" applyFont="1" applyFill="1" applyBorder="1" applyAlignment="1">
      <alignment horizontal="left"/>
    </xf>
    <xf numFmtId="0" fontId="10" fillId="5" borderId="17" xfId="0" applyFont="1" applyFill="1" applyBorder="1" applyAlignment="1">
      <alignment horizontal="left"/>
    </xf>
    <xf numFmtId="167" fontId="0" fillId="5" borderId="0" xfId="0" applyNumberFormat="1" applyFont="1" applyFill="1" applyBorder="1" applyAlignment="1">
      <alignment horizontal="left" vertical="center"/>
    </xf>
    <xf numFmtId="167" fontId="0" fillId="5" borderId="20" xfId="0" applyNumberFormat="1" applyFont="1" applyFill="1" applyBorder="1" applyAlignment="1">
      <alignment horizontal="left" vertical="center"/>
    </xf>
    <xf numFmtId="0" fontId="17" fillId="5" borderId="39" xfId="0" applyFont="1" applyFill="1" applyBorder="1" applyAlignment="1">
      <alignment horizontal="center" vertical="center"/>
    </xf>
    <xf numFmtId="0" fontId="16" fillId="6" borderId="15" xfId="0" applyFont="1" applyFill="1" applyBorder="1" applyAlignment="1">
      <alignment horizontal="center"/>
    </xf>
    <xf numFmtId="0" fontId="16" fillId="6" borderId="25" xfId="0" applyFont="1" applyFill="1" applyBorder="1" applyAlignment="1">
      <alignment horizontal="center"/>
    </xf>
    <xf numFmtId="0" fontId="17" fillId="5" borderId="28" xfId="0" applyFont="1" applyFill="1" applyBorder="1" applyAlignment="1">
      <alignment horizontal="center" vertical="center"/>
    </xf>
    <xf numFmtId="0" fontId="17" fillId="5" borderId="29" xfId="0" applyFont="1" applyFill="1" applyBorder="1" applyAlignment="1">
      <alignment horizontal="center" vertical="center"/>
    </xf>
    <xf numFmtId="0" fontId="36" fillId="5" borderId="0" xfId="0" applyFont="1" applyFill="1" applyAlignment="1">
      <alignment horizontal="left" vertical="center" wrapText="1"/>
    </xf>
    <xf numFmtId="0" fontId="28" fillId="5" borderId="0" xfId="0" applyFont="1" applyFill="1" applyAlignment="1">
      <alignment horizontal="left" vertical="center" wrapText="1"/>
    </xf>
    <xf numFmtId="0" fontId="5" fillId="5" borderId="0" xfId="0" applyFont="1" applyFill="1" applyAlignment="1">
      <alignment horizontal="left" vertical="top"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35" fillId="5" borderId="0" xfId="0" applyFont="1" applyFill="1" applyAlignment="1">
      <alignment horizontal="left" vertical="center" wrapText="1"/>
    </xf>
    <xf numFmtId="0" fontId="3" fillId="5" borderId="0" xfId="0" applyFont="1" applyFill="1" applyAlignment="1">
      <alignment horizontal="center"/>
    </xf>
    <xf numFmtId="0" fontId="17" fillId="5" borderId="44" xfId="0" applyFont="1" applyFill="1" applyBorder="1" applyAlignment="1">
      <alignment horizontal="center" vertical="center"/>
    </xf>
    <xf numFmtId="0" fontId="17" fillId="5" borderId="30" xfId="0" applyFont="1" applyFill="1" applyBorder="1" applyAlignment="1">
      <alignment horizontal="center" vertical="center"/>
    </xf>
    <xf numFmtId="0" fontId="17" fillId="5" borderId="73" xfId="0" applyFont="1" applyFill="1" applyBorder="1" applyAlignment="1">
      <alignment horizontal="center" vertical="center"/>
    </xf>
    <xf numFmtId="0" fontId="17" fillId="5" borderId="63" xfId="0" applyFont="1" applyFill="1" applyBorder="1" applyAlignment="1">
      <alignment horizontal="center" vertical="center"/>
    </xf>
  </cellXfs>
  <cellStyles count="6">
    <cellStyle name="Comma" xfId="1" builtinId="3"/>
    <cellStyle name="Hyperlink" xfId="3" builtinId="8"/>
    <cellStyle name="Normal" xfId="0" builtinId="0"/>
    <cellStyle name="Normal 2" xfId="4" xr:uid="{00000000-0005-0000-0000-000003000000}"/>
    <cellStyle name="Normal 3" xfId="5" xr:uid="{00000000-0005-0000-0000-000004000000}"/>
    <cellStyle name="Percent" xfId="2" builtinId="5"/>
  </cellStyles>
  <dxfs count="0"/>
  <tableStyles count="0" defaultTableStyle="TableStyleMedium9" defaultPivotStyle="PivotStyleLight16"/>
  <colors>
    <mruColors>
      <color rgb="FFFF9900"/>
      <color rgb="FFFF66CC"/>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3" Type="http://schemas.openxmlformats.org/officeDocument/2006/relationships/worksheet" Target="worksheets/sheet3.xml" /><Relationship Id="rId21" Type="http://schemas.openxmlformats.org/officeDocument/2006/relationships/theme" Target="theme/theme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externalLink" Target="externalLinks/externalLink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calcChain" Target="calcChain.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sharedStrings" Target="sharedStrings.xml" /><Relationship Id="rId10" Type="http://schemas.openxmlformats.org/officeDocument/2006/relationships/worksheet" Target="worksheets/sheet10.xml" /><Relationship Id="rId19" Type="http://schemas.openxmlformats.org/officeDocument/2006/relationships/externalLink" Target="externalLinks/externalLink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 /></Relationships>
</file>

<file path=xl/drawings/_rels/drawing2.xml.rels><?xml version="1.0" encoding="UTF-8" standalone="yes"?>
<Relationships xmlns="http://schemas.openxmlformats.org/package/2006/relationships"><Relationship Id="rId1" Type="http://schemas.openxmlformats.org/officeDocument/2006/relationships/image" Target="../media/image1.png" /></Relationships>
</file>

<file path=xl/drawings/_rels/drawing3.xml.rels><?xml version="1.0" encoding="UTF-8" standalone="yes"?>
<Relationships xmlns="http://schemas.openxmlformats.org/package/2006/relationships"><Relationship Id="rId1" Type="http://schemas.openxmlformats.org/officeDocument/2006/relationships/image" Target="../media/image1.png" /></Relationships>
</file>

<file path=xl/drawings/_rels/drawing4.xml.rels><?xml version="1.0" encoding="UTF-8" standalone="yes"?>
<Relationships xmlns="http://schemas.openxmlformats.org/package/2006/relationships"><Relationship Id="rId1" Type="http://schemas.openxmlformats.org/officeDocument/2006/relationships/image" Target="../media/image1.png" /></Relationships>
</file>

<file path=xl/drawings/_rels/drawing5.xml.rels><?xml version="1.0" encoding="UTF-8" standalone="yes"?>
<Relationships xmlns="http://schemas.openxmlformats.org/package/2006/relationships"><Relationship Id="rId1" Type="http://schemas.openxmlformats.org/officeDocument/2006/relationships/image" Target="../media/image1.png" /></Relationships>
</file>

<file path=xl/drawings/_rels/drawing6.xml.rels><?xml version="1.0" encoding="UTF-8" standalone="yes"?>
<Relationships xmlns="http://schemas.openxmlformats.org/package/2006/relationships"><Relationship Id="rId1" Type="http://schemas.openxmlformats.org/officeDocument/2006/relationships/image" Target="../media/image1.png" /></Relationships>
</file>

<file path=xl/drawings/_rels/drawing7.xml.rels><?xml version="1.0" encoding="UTF-8" standalone="yes"?>
<Relationships xmlns="http://schemas.openxmlformats.org/package/2006/relationships"><Relationship Id="rId1" Type="http://schemas.openxmlformats.org/officeDocument/2006/relationships/image" Target="../media/image1.png" /></Relationships>
</file>

<file path=xl/drawings/_rels/drawing8.xml.rels><?xml version="1.0" encoding="UTF-8" standalone="yes"?>
<Relationships xmlns="http://schemas.openxmlformats.org/package/2006/relationships"><Relationship Id="rId1" Type="http://schemas.openxmlformats.org/officeDocument/2006/relationships/image" Target="../media/image1.png" /></Relationships>
</file>

<file path=xl/drawings/_rels/drawing9.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809625" cy="838200"/>
        </a:xfrm>
        <a:prstGeom prst="rect">
          <a:avLst/>
        </a:prstGeom>
        <a:noFill/>
        <a:ln w="9525">
          <a:noFill/>
          <a:miter lim="800000"/>
          <a:headEnd/>
          <a:tailEnd/>
        </a:ln>
      </xdr:spPr>
    </xdr:pic>
    <xdr:clientData/>
  </xdr:twoCellAnchor>
  <xdr:twoCellAnchor editAs="oneCell">
    <xdr:from>
      <xdr:col>1</xdr:col>
      <xdr:colOff>876300</xdr:colOff>
      <xdr:row>0</xdr:row>
      <xdr:rowOff>57150</xdr:rowOff>
    </xdr:from>
    <xdr:to>
      <xdr:col>1</xdr:col>
      <xdr:colOff>1685925</xdr:colOff>
      <xdr:row>4</xdr:row>
      <xdr:rowOff>133350</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0600" y="57150"/>
          <a:ext cx="809625" cy="838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876300</xdr:colOff>
      <xdr:row>0</xdr:row>
      <xdr:rowOff>57150</xdr:rowOff>
    </xdr:from>
    <xdr:to>
      <xdr:col>1</xdr:col>
      <xdr:colOff>1685925</xdr:colOff>
      <xdr:row>4</xdr:row>
      <xdr:rowOff>133350</xdr:rowOff>
    </xdr:to>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95475" y="57150"/>
          <a:ext cx="809625" cy="8382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809625" cy="838200"/>
        </a:xfrm>
        <a:prstGeom prst="rect">
          <a:avLst/>
        </a:prstGeom>
        <a:noFill/>
        <a:ln w="9525">
          <a:noFill/>
          <a:miter lim="800000"/>
          <a:headEnd/>
          <a:tailEnd/>
        </a:ln>
      </xdr:spPr>
    </xdr:pic>
    <xdr:clientData/>
  </xdr:twoCellAnchor>
  <xdr:twoCellAnchor editAs="oneCell">
    <xdr:from>
      <xdr:col>1</xdr:col>
      <xdr:colOff>952500</xdr:colOff>
      <xdr:row>0</xdr:row>
      <xdr:rowOff>47625</xdr:rowOff>
    </xdr:from>
    <xdr:to>
      <xdr:col>1</xdr:col>
      <xdr:colOff>1762125</xdr:colOff>
      <xdr:row>4</xdr:row>
      <xdr:rowOff>123825</xdr:rowOff>
    </xdr:to>
    <xdr:pic>
      <xdr:nvPicPr>
        <xdr:cNvPr id="6" name="Picture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6800" y="47625"/>
          <a:ext cx="809625" cy="8382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952500</xdr:colOff>
      <xdr:row>0</xdr:row>
      <xdr:rowOff>47625</xdr:rowOff>
    </xdr:from>
    <xdr:to>
      <xdr:col>1</xdr:col>
      <xdr:colOff>952500</xdr:colOff>
      <xdr:row>4</xdr:row>
      <xdr:rowOff>123825</xdr:rowOff>
    </xdr:to>
    <xdr:pic>
      <xdr:nvPicPr>
        <xdr:cNvPr id="6" name="Picture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6800" y="47625"/>
          <a:ext cx="809625" cy="838200"/>
        </a:xfrm>
        <a:prstGeom prst="rect">
          <a:avLst/>
        </a:prstGeom>
        <a:noFill/>
        <a:ln w="9525">
          <a:noFill/>
          <a:miter lim="800000"/>
          <a:headEnd/>
          <a:tailEnd/>
        </a:ln>
      </xdr:spPr>
    </xdr:pic>
    <xdr:clientData/>
  </xdr:twoCellAnchor>
  <xdr:twoCellAnchor editAs="oneCell">
    <xdr:from>
      <xdr:col>1</xdr:col>
      <xdr:colOff>984250</xdr:colOff>
      <xdr:row>0</xdr:row>
      <xdr:rowOff>74083</xdr:rowOff>
    </xdr:from>
    <xdr:to>
      <xdr:col>1</xdr:col>
      <xdr:colOff>984250</xdr:colOff>
      <xdr:row>4</xdr:row>
      <xdr:rowOff>150283</xdr:rowOff>
    </xdr:to>
    <xdr:pic>
      <xdr:nvPicPr>
        <xdr:cNvPr id="7" name="Picture 6">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8" name="Picture 7">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9" name="Picture 8">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10" name="Picture 9">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1752600</xdr:colOff>
      <xdr:row>4</xdr:row>
      <xdr:rowOff>161925</xdr:rowOff>
    </xdr:to>
    <xdr:pic>
      <xdr:nvPicPr>
        <xdr:cNvPr id="11" name="Picture 10">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809625" cy="8382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0"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962025</xdr:colOff>
      <xdr:row>4</xdr:row>
      <xdr:rowOff>152400</xdr:rowOff>
    </xdr:to>
    <xdr:pic>
      <xdr:nvPicPr>
        <xdr:cNvPr id="7" name="Picture 6">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76200"/>
          <a:ext cx="809625" cy="838200"/>
        </a:xfrm>
        <a:prstGeom prst="rect">
          <a:avLst/>
        </a:prstGeom>
        <a:noFill/>
        <a:ln w="9525">
          <a:noFill/>
          <a:miter lim="800000"/>
          <a:headEnd/>
          <a:tailEnd/>
        </a:ln>
      </xdr:spPr>
    </xdr:pic>
    <xdr:clientData/>
  </xdr:twoCellAnchor>
  <xdr:twoCellAnchor editAs="oneCell">
    <xdr:from>
      <xdr:col>1</xdr:col>
      <xdr:colOff>952500</xdr:colOff>
      <xdr:row>0</xdr:row>
      <xdr:rowOff>57150</xdr:rowOff>
    </xdr:from>
    <xdr:to>
      <xdr:col>1</xdr:col>
      <xdr:colOff>1762125</xdr:colOff>
      <xdr:row>4</xdr:row>
      <xdr:rowOff>133350</xdr:rowOff>
    </xdr:to>
    <xdr:pic>
      <xdr:nvPicPr>
        <xdr:cNvPr id="8" name="Picture 7">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6800" y="57150"/>
          <a:ext cx="809625" cy="838200"/>
        </a:xfrm>
        <a:prstGeom prst="rect">
          <a:avLst/>
        </a:prstGeom>
        <a:noFill/>
        <a:ln w="9525">
          <a:noFill/>
          <a:miter lim="800000"/>
          <a:headEnd/>
          <a:tailEnd/>
        </a:ln>
      </xdr:spPr>
    </xdr:pic>
    <xdr:clientData/>
  </xdr:twoCellAnchor>
  <xdr:twoCellAnchor editAs="oneCell">
    <xdr:from>
      <xdr:col>1</xdr:col>
      <xdr:colOff>984250</xdr:colOff>
      <xdr:row>0</xdr:row>
      <xdr:rowOff>74083</xdr:rowOff>
    </xdr:from>
    <xdr:to>
      <xdr:col>1</xdr:col>
      <xdr:colOff>984250</xdr:colOff>
      <xdr:row>4</xdr:row>
      <xdr:rowOff>150283</xdr:rowOff>
    </xdr:to>
    <xdr:pic>
      <xdr:nvPicPr>
        <xdr:cNvPr id="9" name="Picture 8">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10" name="Picture 9">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11" name="Picture 10">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12" name="Picture 11">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13" name="Picture 12">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0" cy="8382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3575"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2625" y="38100"/>
          <a:ext cx="0"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962025</xdr:colOff>
      <xdr:row>4</xdr:row>
      <xdr:rowOff>152400</xdr:rowOff>
    </xdr:to>
    <xdr:pic>
      <xdr:nvPicPr>
        <xdr:cNvPr id="7" name="Picture 6">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81200" y="76200"/>
          <a:ext cx="0" cy="838200"/>
        </a:xfrm>
        <a:prstGeom prst="rect">
          <a:avLst/>
        </a:prstGeom>
        <a:noFill/>
        <a:ln w="9525">
          <a:noFill/>
          <a:miter lim="800000"/>
          <a:headEnd/>
          <a:tailEnd/>
        </a:ln>
      </xdr:spPr>
    </xdr:pic>
    <xdr:clientData/>
  </xdr:twoCellAnchor>
  <xdr:twoCellAnchor editAs="oneCell">
    <xdr:from>
      <xdr:col>1</xdr:col>
      <xdr:colOff>952500</xdr:colOff>
      <xdr:row>0</xdr:row>
      <xdr:rowOff>57150</xdr:rowOff>
    </xdr:from>
    <xdr:to>
      <xdr:col>1</xdr:col>
      <xdr:colOff>1762125</xdr:colOff>
      <xdr:row>4</xdr:row>
      <xdr:rowOff>133350</xdr:rowOff>
    </xdr:to>
    <xdr:pic>
      <xdr:nvPicPr>
        <xdr:cNvPr id="8" name="Picture 7">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71675" y="57150"/>
          <a:ext cx="809625" cy="838200"/>
        </a:xfrm>
        <a:prstGeom prst="rect">
          <a:avLst/>
        </a:prstGeom>
        <a:noFill/>
        <a:ln w="9525">
          <a:noFill/>
          <a:miter lim="800000"/>
          <a:headEnd/>
          <a:tailEnd/>
        </a:ln>
      </xdr:spPr>
    </xdr:pic>
    <xdr:clientData/>
  </xdr:twoCellAnchor>
  <xdr:twoCellAnchor editAs="oneCell">
    <xdr:from>
      <xdr:col>1</xdr:col>
      <xdr:colOff>984250</xdr:colOff>
      <xdr:row>0</xdr:row>
      <xdr:rowOff>74083</xdr:rowOff>
    </xdr:from>
    <xdr:to>
      <xdr:col>1</xdr:col>
      <xdr:colOff>984250</xdr:colOff>
      <xdr:row>4</xdr:row>
      <xdr:rowOff>150283</xdr:rowOff>
    </xdr:to>
    <xdr:pic>
      <xdr:nvPicPr>
        <xdr:cNvPr id="9" name="Picture 8">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10" name="Picture 9">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11" name="Picture 10">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12" name="Picture 11">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3575"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13" name="Picture 12">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2625" y="38100"/>
          <a:ext cx="0" cy="8382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3575"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2625" y="38100"/>
          <a:ext cx="0"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962025</xdr:colOff>
      <xdr:row>4</xdr:row>
      <xdr:rowOff>152400</xdr:rowOff>
    </xdr:to>
    <xdr:pic>
      <xdr:nvPicPr>
        <xdr:cNvPr id="7" name="Picture 6">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81200" y="76200"/>
          <a:ext cx="0" cy="838200"/>
        </a:xfrm>
        <a:prstGeom prst="rect">
          <a:avLst/>
        </a:prstGeom>
        <a:noFill/>
        <a:ln w="9525">
          <a:noFill/>
          <a:miter lim="800000"/>
          <a:headEnd/>
          <a:tailEnd/>
        </a:ln>
      </xdr:spPr>
    </xdr:pic>
    <xdr:clientData/>
  </xdr:twoCellAnchor>
  <xdr:twoCellAnchor editAs="oneCell">
    <xdr:from>
      <xdr:col>1</xdr:col>
      <xdr:colOff>952500</xdr:colOff>
      <xdr:row>0</xdr:row>
      <xdr:rowOff>57150</xdr:rowOff>
    </xdr:from>
    <xdr:to>
      <xdr:col>1</xdr:col>
      <xdr:colOff>1762125</xdr:colOff>
      <xdr:row>4</xdr:row>
      <xdr:rowOff>133350</xdr:rowOff>
    </xdr:to>
    <xdr:pic>
      <xdr:nvPicPr>
        <xdr:cNvPr id="8" name="Picture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71675" y="57150"/>
          <a:ext cx="809625" cy="838200"/>
        </a:xfrm>
        <a:prstGeom prst="rect">
          <a:avLst/>
        </a:prstGeom>
        <a:noFill/>
        <a:ln w="9525">
          <a:noFill/>
          <a:miter lim="800000"/>
          <a:headEnd/>
          <a:tailEnd/>
        </a:ln>
      </xdr:spPr>
    </xdr:pic>
    <xdr:clientData/>
  </xdr:twoCellAnchor>
  <xdr:twoCellAnchor editAs="oneCell">
    <xdr:from>
      <xdr:col>1</xdr:col>
      <xdr:colOff>984250</xdr:colOff>
      <xdr:row>0</xdr:row>
      <xdr:rowOff>74083</xdr:rowOff>
    </xdr:from>
    <xdr:to>
      <xdr:col>1</xdr:col>
      <xdr:colOff>984250</xdr:colOff>
      <xdr:row>4</xdr:row>
      <xdr:rowOff>150283</xdr:rowOff>
    </xdr:to>
    <xdr:pic>
      <xdr:nvPicPr>
        <xdr:cNvPr id="9" name="Picture 8">
          <a:extLst>
            <a:ext uri="{FF2B5EF4-FFF2-40B4-BE49-F238E27FC236}">
              <a16:creationId xmlns:a16="http://schemas.microsoft.com/office/drawing/2014/main" id="{00000000-0008-0000-1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10" name="Picture 9">
          <a:extLst>
            <a:ext uri="{FF2B5EF4-FFF2-40B4-BE49-F238E27FC236}">
              <a16:creationId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11" name="Picture 10">
          <a:extLst>
            <a:ext uri="{FF2B5EF4-FFF2-40B4-BE49-F238E27FC236}">
              <a16:creationId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12" name="Picture 11">
          <a:extLst>
            <a:ext uri="{FF2B5EF4-FFF2-40B4-BE49-F238E27FC236}">
              <a16:creationId xmlns:a16="http://schemas.microsoft.com/office/drawing/2014/main" id="{00000000-0008-0000-10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3575"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13" name="Picture 12">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2625" y="38100"/>
          <a:ext cx="0" cy="8382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3575"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2625" y="38100"/>
          <a:ext cx="0"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962025</xdr:colOff>
      <xdr:row>4</xdr:row>
      <xdr:rowOff>152400</xdr:rowOff>
    </xdr:to>
    <xdr:pic>
      <xdr:nvPicPr>
        <xdr:cNvPr id="7" name="Picture 6">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81200" y="76200"/>
          <a:ext cx="0" cy="838200"/>
        </a:xfrm>
        <a:prstGeom prst="rect">
          <a:avLst/>
        </a:prstGeom>
        <a:noFill/>
        <a:ln w="9525">
          <a:noFill/>
          <a:miter lim="800000"/>
          <a:headEnd/>
          <a:tailEnd/>
        </a:ln>
      </xdr:spPr>
    </xdr:pic>
    <xdr:clientData/>
  </xdr:twoCellAnchor>
  <xdr:twoCellAnchor editAs="oneCell">
    <xdr:from>
      <xdr:col>1</xdr:col>
      <xdr:colOff>952500</xdr:colOff>
      <xdr:row>0</xdr:row>
      <xdr:rowOff>57150</xdr:rowOff>
    </xdr:from>
    <xdr:to>
      <xdr:col>1</xdr:col>
      <xdr:colOff>1762125</xdr:colOff>
      <xdr:row>4</xdr:row>
      <xdr:rowOff>133350</xdr:rowOff>
    </xdr:to>
    <xdr:pic>
      <xdr:nvPicPr>
        <xdr:cNvPr id="8" name="Picture 7">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71675" y="57150"/>
          <a:ext cx="809625" cy="838200"/>
        </a:xfrm>
        <a:prstGeom prst="rect">
          <a:avLst/>
        </a:prstGeom>
        <a:noFill/>
        <a:ln w="9525">
          <a:noFill/>
          <a:miter lim="800000"/>
          <a:headEnd/>
          <a:tailEnd/>
        </a:ln>
      </xdr:spPr>
    </xdr:pic>
    <xdr:clientData/>
  </xdr:twoCellAnchor>
  <xdr:twoCellAnchor editAs="oneCell">
    <xdr:from>
      <xdr:col>1</xdr:col>
      <xdr:colOff>984250</xdr:colOff>
      <xdr:row>0</xdr:row>
      <xdr:rowOff>74083</xdr:rowOff>
    </xdr:from>
    <xdr:to>
      <xdr:col>1</xdr:col>
      <xdr:colOff>984250</xdr:colOff>
      <xdr:row>4</xdr:row>
      <xdr:rowOff>150283</xdr:rowOff>
    </xdr:to>
    <xdr:pic>
      <xdr:nvPicPr>
        <xdr:cNvPr id="9" name="Picture 8">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10" name="Picture 9">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11" name="Picture 10">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12" name="Picture 11">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3575"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13" name="Picture 12">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2625" y="38100"/>
          <a:ext cx="0"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1714500</xdr:colOff>
      <xdr:row>4</xdr:row>
      <xdr:rowOff>133350</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809625"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809625"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1714500</xdr:colOff>
      <xdr:row>4</xdr:row>
      <xdr:rowOff>133350</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809625" cy="838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809625"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1724025</xdr:colOff>
      <xdr:row>4</xdr:row>
      <xdr:rowOff>142875</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80962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809625"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1743075</xdr:colOff>
      <xdr:row>4</xdr:row>
      <xdr:rowOff>114300</xdr:rowOff>
    </xdr:to>
    <xdr:pic>
      <xdr:nvPicPr>
        <xdr:cNvPr id="6" name="Picture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809625"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7275"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19175"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0" y="38100"/>
          <a:ext cx="809625"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1771650</xdr:colOff>
      <xdr:row>4</xdr:row>
      <xdr:rowOff>152400</xdr:rowOff>
    </xdr:to>
    <xdr:pic>
      <xdr:nvPicPr>
        <xdr:cNvPr id="7" name="Picture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6325" y="76200"/>
          <a:ext cx="809625"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3575"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2625" y="38100"/>
          <a:ext cx="0"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1771650</xdr:colOff>
      <xdr:row>4</xdr:row>
      <xdr:rowOff>152400</xdr:rowOff>
    </xdr:to>
    <xdr:pic>
      <xdr:nvPicPr>
        <xdr:cNvPr id="7" name="Picture 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81200" y="76200"/>
          <a:ext cx="809625"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3575"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2625" y="38100"/>
          <a:ext cx="0"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1771650</xdr:colOff>
      <xdr:row>4</xdr:row>
      <xdr:rowOff>152400</xdr:rowOff>
    </xdr:to>
    <xdr:pic>
      <xdr:nvPicPr>
        <xdr:cNvPr id="7" name="Picture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81200" y="76200"/>
          <a:ext cx="809625" cy="8382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3425" y="74083"/>
          <a:ext cx="0" cy="838200"/>
        </a:xfrm>
        <a:prstGeom prst="rect">
          <a:avLst/>
        </a:prstGeom>
        <a:noFill/>
        <a:ln w="9525">
          <a:noFill/>
          <a:miter lim="800000"/>
          <a:headEnd/>
          <a:tailEnd/>
        </a:ln>
      </xdr:spPr>
    </xdr:pic>
    <xdr:clientData/>
  </xdr:twoCellAnchor>
  <xdr:twoCellAnchor editAs="oneCell">
    <xdr:from>
      <xdr:col>1</xdr:col>
      <xdr:colOff>942975</xdr:colOff>
      <xdr:row>0</xdr:row>
      <xdr:rowOff>85725</xdr:rowOff>
    </xdr:from>
    <xdr:to>
      <xdr:col>1</xdr:col>
      <xdr:colOff>942975</xdr:colOff>
      <xdr:row>4</xdr:row>
      <xdr:rowOff>161925</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62150" y="85725"/>
          <a:ext cx="0" cy="838200"/>
        </a:xfrm>
        <a:prstGeom prst="rect">
          <a:avLst/>
        </a:prstGeom>
        <a:noFill/>
        <a:ln w="9525">
          <a:noFill/>
          <a:miter lim="800000"/>
          <a:headEnd/>
          <a:tailEnd/>
        </a:ln>
      </xdr:spPr>
    </xdr:pic>
    <xdr:clientData/>
  </xdr:twoCellAnchor>
  <xdr:twoCellAnchor editAs="oneCell">
    <xdr:from>
      <xdr:col>1</xdr:col>
      <xdr:colOff>904875</xdr:colOff>
      <xdr:row>0</xdr:row>
      <xdr:rowOff>57150</xdr:rowOff>
    </xdr:from>
    <xdr:to>
      <xdr:col>1</xdr:col>
      <xdr:colOff>904875</xdr:colOff>
      <xdr:row>4</xdr:row>
      <xdr:rowOff>133350</xdr:rowOff>
    </xdr:to>
    <xdr:pic>
      <xdr:nvPicPr>
        <xdr:cNvPr id="4" name="Pictur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24050" y="57150"/>
          <a:ext cx="0" cy="838200"/>
        </a:xfrm>
        <a:prstGeom prst="rect">
          <a:avLst/>
        </a:prstGeom>
        <a:noFill/>
        <a:ln w="9525">
          <a:noFill/>
          <a:miter lim="800000"/>
          <a:headEnd/>
          <a:tailEnd/>
        </a:ln>
      </xdr:spPr>
    </xdr:pic>
    <xdr:clientData/>
  </xdr:twoCellAnchor>
  <xdr:twoCellAnchor editAs="oneCell">
    <xdr:from>
      <xdr:col>1</xdr:col>
      <xdr:colOff>914400</xdr:colOff>
      <xdr:row>0</xdr:row>
      <xdr:rowOff>66675</xdr:rowOff>
    </xdr:from>
    <xdr:to>
      <xdr:col>1</xdr:col>
      <xdr:colOff>914400</xdr:colOff>
      <xdr:row>4</xdr:row>
      <xdr:rowOff>142875</xdr:rowOff>
    </xdr:to>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33575" y="66675"/>
          <a:ext cx="0" cy="838200"/>
        </a:xfrm>
        <a:prstGeom prst="rect">
          <a:avLst/>
        </a:prstGeom>
        <a:noFill/>
        <a:ln w="9525">
          <a:noFill/>
          <a:miter lim="800000"/>
          <a:headEnd/>
          <a:tailEnd/>
        </a:ln>
      </xdr:spPr>
    </xdr:pic>
    <xdr:clientData/>
  </xdr:twoCellAnchor>
  <xdr:twoCellAnchor editAs="oneCell">
    <xdr:from>
      <xdr:col>1</xdr:col>
      <xdr:colOff>933450</xdr:colOff>
      <xdr:row>0</xdr:row>
      <xdr:rowOff>38100</xdr:rowOff>
    </xdr:from>
    <xdr:to>
      <xdr:col>1</xdr:col>
      <xdr:colOff>933450</xdr:colOff>
      <xdr:row>4</xdr:row>
      <xdr:rowOff>114300</xdr:rowOff>
    </xdr:to>
    <xdr:pic>
      <xdr:nvPicPr>
        <xdr:cNvPr id="6" name="Picture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52625" y="38100"/>
          <a:ext cx="0" cy="838200"/>
        </a:xfrm>
        <a:prstGeom prst="rect">
          <a:avLst/>
        </a:prstGeom>
        <a:noFill/>
        <a:ln w="9525">
          <a:noFill/>
          <a:miter lim="800000"/>
          <a:headEnd/>
          <a:tailEnd/>
        </a:ln>
      </xdr:spPr>
    </xdr:pic>
    <xdr:clientData/>
  </xdr:twoCellAnchor>
  <xdr:twoCellAnchor editAs="oneCell">
    <xdr:from>
      <xdr:col>1</xdr:col>
      <xdr:colOff>962025</xdr:colOff>
      <xdr:row>0</xdr:row>
      <xdr:rowOff>76200</xdr:rowOff>
    </xdr:from>
    <xdr:to>
      <xdr:col>1</xdr:col>
      <xdr:colOff>1771650</xdr:colOff>
      <xdr:row>4</xdr:row>
      <xdr:rowOff>152400</xdr:rowOff>
    </xdr:to>
    <xdr:pic>
      <xdr:nvPicPr>
        <xdr:cNvPr id="7" name="Picture 6">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81200" y="76200"/>
          <a:ext cx="809625"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sky/Downloads/BELLE%20Midlands%20Comp%20Template%20-%20Sep%201%20-%20Dec%2031,%202020%20(1).xlsx"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lle/TO%20DO/June26/June/Computation%20Template_Midlands_11June2015.xls"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_Tandem_Cash"/>
      <sheetName val="AM_Tandem_Inst1"/>
      <sheetName val="AM_Tandem_Ints2"/>
      <sheetName val="AM_Tandem_Inst3"/>
      <sheetName val="AM_Tandem_No DP"/>
      <sheetName val="AM_Tandem_Special"/>
      <sheetName val="AM_Tandem_Promo"/>
      <sheetName val="Pricelist"/>
      <sheetName val="Old Notes"/>
      <sheetName val="INPUT"/>
      <sheetName val="Yume_Mem_Cash"/>
      <sheetName val="Yume_Mem_Inst1"/>
      <sheetName val="Yume_Mem_Inst2"/>
      <sheetName val="Yume_Mem_Inst3"/>
      <sheetName val="Yume_Mem_NO DP"/>
      <sheetName val="Yume_Mem_Special"/>
      <sheetName val="Yume_Mem_Promo"/>
      <sheetName val="Yume_Non_Cash"/>
      <sheetName val="Yume_Non_Inst1"/>
      <sheetName val="Yume_Non_Inst2"/>
      <sheetName val="Yume_Non_Inst3"/>
      <sheetName val="Yume_Non_No DP"/>
      <sheetName val="Yume_Non_Special"/>
      <sheetName val="Yume_Non_Promo"/>
      <sheetName val="AM_Non_Cash"/>
      <sheetName val="AM_Non_Inst1"/>
      <sheetName val="AM_Non_Inst2"/>
      <sheetName val="AM_Non_Inst3"/>
      <sheetName val="AM_Non_No DP"/>
      <sheetName val="AM_Non_Special"/>
      <sheetName val="AM_Non_Promo"/>
      <sheetName val="AM_Mem_Cash"/>
      <sheetName val="AM_Mem_Inst1"/>
      <sheetName val="AM_Mem_Inst2"/>
      <sheetName val="AM_Mem_Inst3"/>
      <sheetName val="AM_Mem_No DP"/>
      <sheetName val="AM_Mem_Special"/>
      <sheetName val="AM_Mem_Promo"/>
      <sheetName val="Classic_Mem_Cash"/>
      <sheetName val="Classic_Mem_Inst1"/>
      <sheetName val="Classic_Mem_Inst2"/>
      <sheetName val="Classic_Mem_Inst3"/>
      <sheetName val="Classic_Mem_No DP"/>
      <sheetName val="Classic_Mem_Special"/>
      <sheetName val="Classic_Mem_Promo"/>
      <sheetName val="Classic_Non_Cash"/>
      <sheetName val="Classic_Non_Inst1"/>
      <sheetName val="Classic_Non_Inst2"/>
      <sheetName val="Classic_Non_Inst3"/>
      <sheetName val="Classic_Non_No DP"/>
      <sheetName val="Classic_Non_Special"/>
      <sheetName val="Classic_Non_Promo"/>
      <sheetName val="SH_Mem_Cash"/>
      <sheetName val="SH_Mem_Inst1"/>
      <sheetName val="SH_Mem_Inst2"/>
      <sheetName val="SH_Mem_Inst_3"/>
      <sheetName val="SH_Mem_No DP"/>
      <sheetName val="SH_Mem_Special"/>
      <sheetName val="SH_Mem_Promo"/>
      <sheetName val="SH_Non_Cash"/>
      <sheetName val="SH_Non_Inst1"/>
      <sheetName val="SH_Non_Inst2"/>
      <sheetName val="SH_Non_Inst3"/>
      <sheetName val="SH_Non_No DP"/>
      <sheetName val="SH_Non_Special"/>
      <sheetName val="SH_Non_Promo"/>
      <sheetName val="SH5_Mem_Cash"/>
      <sheetName val="SH5_Mem_Inst1"/>
      <sheetName val="SH5_Mem_Inst2"/>
      <sheetName val="SH5_Mem_Inst_3"/>
      <sheetName val="SH5_Mem_No DP"/>
      <sheetName val="SH5_Mem_Special"/>
      <sheetName val="SH5_Non_Cash"/>
      <sheetName val="SH5_NonMem_Inst1"/>
      <sheetName val="SH5_NonMem_Inst2"/>
      <sheetName val="SH5_NonMem_Inst3"/>
      <sheetName val="SH5_NonMem_No DP"/>
      <sheetName val="SH5_NonMem_Special"/>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E1">
            <v>0</v>
          </cell>
          <cell r="F1">
            <v>0</v>
          </cell>
          <cell r="G1">
            <v>0</v>
          </cell>
          <cell r="H1">
            <v>0</v>
          </cell>
          <cell r="I1">
            <v>0</v>
          </cell>
          <cell r="J1">
            <v>0</v>
          </cell>
        </row>
        <row r="2">
          <cell r="E2">
            <v>1</v>
          </cell>
          <cell r="F2">
            <v>2</v>
          </cell>
          <cell r="G2">
            <v>3</v>
          </cell>
          <cell r="H2">
            <v>4</v>
          </cell>
          <cell r="I2">
            <v>5</v>
          </cell>
          <cell r="J2">
            <v>6</v>
          </cell>
        </row>
        <row r="3">
          <cell r="E3">
            <v>0</v>
          </cell>
          <cell r="F3">
            <v>0</v>
          </cell>
          <cell r="G3">
            <v>0</v>
          </cell>
          <cell r="H3">
            <v>0</v>
          </cell>
          <cell r="I3">
            <v>0</v>
          </cell>
          <cell r="J3">
            <v>0</v>
          </cell>
        </row>
        <row r="4">
          <cell r="E4">
            <v>0</v>
          </cell>
          <cell r="F4">
            <v>0</v>
          </cell>
          <cell r="G4">
            <v>0</v>
          </cell>
          <cell r="H4">
            <v>0</v>
          </cell>
          <cell r="I4">
            <v>0</v>
          </cell>
          <cell r="J4">
            <v>0</v>
          </cell>
        </row>
        <row r="5">
          <cell r="E5">
            <v>0</v>
          </cell>
          <cell r="F5">
            <v>0</v>
          </cell>
          <cell r="G5">
            <v>0</v>
          </cell>
          <cell r="H5">
            <v>0</v>
          </cell>
          <cell r="I5">
            <v>0</v>
          </cell>
          <cell r="J5">
            <v>0</v>
          </cell>
        </row>
        <row r="6">
          <cell r="E6" t="str">
            <v>CONCATENATE</v>
          </cell>
          <cell r="F6" t="str">
            <v>HOUSE ADDRESS</v>
          </cell>
          <cell r="G6" t="str">
            <v>LOT AREA</v>
          </cell>
          <cell r="H6" t="str">
            <v>NON MEMBER</v>
          </cell>
          <cell r="I6" t="str">
            <v>MEMBER</v>
          </cell>
          <cell r="J6" t="str">
            <v>SELLING PRICE</v>
          </cell>
        </row>
        <row r="7">
          <cell r="E7" t="str">
            <v>Sycamore Heights/29/20</v>
          </cell>
          <cell r="F7" t="str">
            <v>Block 29 Lot 20</v>
          </cell>
          <cell r="G7">
            <v>519</v>
          </cell>
          <cell r="H7">
            <v>150000</v>
          </cell>
          <cell r="I7">
            <v>150000</v>
          </cell>
          <cell r="J7">
            <v>9501899</v>
          </cell>
        </row>
        <row r="8">
          <cell r="E8" t="str">
            <v>Sycamore Heights/7/2</v>
          </cell>
          <cell r="F8" t="str">
            <v>Block 7 Lot 2</v>
          </cell>
          <cell r="G8">
            <v>304</v>
          </cell>
          <cell r="H8">
            <v>150000</v>
          </cell>
          <cell r="I8">
            <v>150000</v>
          </cell>
          <cell r="J8">
            <v>6840000</v>
          </cell>
        </row>
        <row r="9">
          <cell r="E9" t="str">
            <v>Sycamore Heights/1/2</v>
          </cell>
          <cell r="F9" t="str">
            <v>Block 1 Lot 2</v>
          </cell>
          <cell r="G9">
            <v>281</v>
          </cell>
          <cell r="H9">
            <v>150000</v>
          </cell>
          <cell r="I9">
            <v>150000</v>
          </cell>
          <cell r="J9">
            <v>6041500</v>
          </cell>
        </row>
        <row r="10">
          <cell r="E10" t="str">
            <v>Sycamore Heights/29/30</v>
          </cell>
          <cell r="F10" t="str">
            <v>Block 29 Lot 30</v>
          </cell>
          <cell r="G10">
            <v>456</v>
          </cell>
          <cell r="H10">
            <v>150000</v>
          </cell>
          <cell r="I10">
            <v>150000</v>
          </cell>
          <cell r="J10">
            <v>8937600</v>
          </cell>
        </row>
        <row r="11">
          <cell r="E11" t="str">
            <v>Sycamore Heights/32/10</v>
          </cell>
          <cell r="F11" t="str">
            <v>Block 32 Lot 10</v>
          </cell>
          <cell r="G11">
            <v>362</v>
          </cell>
          <cell r="H11">
            <v>150000</v>
          </cell>
          <cell r="I11">
            <v>150000</v>
          </cell>
          <cell r="J11">
            <v>7501610</v>
          </cell>
        </row>
        <row r="12">
          <cell r="E12" t="str">
            <v>Sycamore Heights/47/2</v>
          </cell>
          <cell r="F12" t="str">
            <v>Block 47 Lot 2</v>
          </cell>
          <cell r="G12">
            <v>416</v>
          </cell>
          <cell r="H12">
            <v>100000</v>
          </cell>
          <cell r="I12">
            <v>100000</v>
          </cell>
          <cell r="J12">
            <v>19468800</v>
          </cell>
        </row>
        <row r="13">
          <cell r="E13" t="str">
            <v>Sycamore Heights/47/3</v>
          </cell>
          <cell r="F13" t="str">
            <v>Block 47 Lot 3</v>
          </cell>
          <cell r="G13">
            <v>416</v>
          </cell>
          <cell r="H13">
            <v>100000</v>
          </cell>
          <cell r="I13">
            <v>100000</v>
          </cell>
          <cell r="J13" t="str">
            <v>N/A</v>
          </cell>
        </row>
        <row r="14">
          <cell r="E14" t="str">
            <v>Sycamore Heights/47/5</v>
          </cell>
          <cell r="F14" t="str">
            <v>Block 47 Lot 5</v>
          </cell>
          <cell r="G14">
            <v>416</v>
          </cell>
          <cell r="H14">
            <v>100000</v>
          </cell>
          <cell r="I14">
            <v>100000</v>
          </cell>
          <cell r="J14" t="str">
            <v>N/A</v>
          </cell>
        </row>
        <row r="15">
          <cell r="E15" t="str">
            <v>Sycamore Heights/47/6</v>
          </cell>
          <cell r="F15" t="str">
            <v>Block 47 Lot 6</v>
          </cell>
          <cell r="G15">
            <v>416</v>
          </cell>
          <cell r="H15">
            <v>100000</v>
          </cell>
          <cell r="I15">
            <v>100000</v>
          </cell>
          <cell r="J15" t="str">
            <v>N/A</v>
          </cell>
        </row>
        <row r="16">
          <cell r="E16" t="str">
            <v>Sycamore Heights/47/7</v>
          </cell>
          <cell r="F16" t="str">
            <v>Block 47 Lot 7</v>
          </cell>
          <cell r="G16">
            <v>416</v>
          </cell>
          <cell r="H16">
            <v>100000</v>
          </cell>
          <cell r="I16">
            <v>100000</v>
          </cell>
          <cell r="J16" t="str">
            <v>N/A</v>
          </cell>
        </row>
        <row r="17">
          <cell r="E17" t="str">
            <v>Sycamore Heights/47/8</v>
          </cell>
          <cell r="F17" t="str">
            <v>Block 47 Lot 8</v>
          </cell>
          <cell r="G17">
            <v>416</v>
          </cell>
          <cell r="H17">
            <v>100000</v>
          </cell>
          <cell r="I17">
            <v>100000</v>
          </cell>
          <cell r="J17" t="str">
            <v>N/A</v>
          </cell>
        </row>
        <row r="18">
          <cell r="E18" t="str">
            <v>Sycamore Heights/47/9</v>
          </cell>
          <cell r="F18" t="str">
            <v>Block 47 Lot 9</v>
          </cell>
          <cell r="G18">
            <v>416</v>
          </cell>
          <cell r="H18">
            <v>100000</v>
          </cell>
          <cell r="I18">
            <v>100000</v>
          </cell>
          <cell r="J18" t="str">
            <v>N/A</v>
          </cell>
        </row>
        <row r="19">
          <cell r="E19" t="str">
            <v>Sycamore Heights/47/10</v>
          </cell>
          <cell r="F19" t="str">
            <v>Block 47 Lot 10</v>
          </cell>
          <cell r="G19">
            <v>416</v>
          </cell>
          <cell r="H19">
            <v>100000</v>
          </cell>
          <cell r="I19">
            <v>100000</v>
          </cell>
          <cell r="J19">
            <v>17804800</v>
          </cell>
        </row>
        <row r="20">
          <cell r="E20" t="str">
            <v>Sycamore Heights/47/11</v>
          </cell>
          <cell r="F20" t="str">
            <v>Block 47 Lot 11</v>
          </cell>
          <cell r="G20">
            <v>416</v>
          </cell>
          <cell r="H20">
            <v>100000</v>
          </cell>
          <cell r="I20">
            <v>100000</v>
          </cell>
          <cell r="J20">
            <v>16972800</v>
          </cell>
        </row>
        <row r="21">
          <cell r="E21" t="str">
            <v>Sycamore Heights/36/8</v>
          </cell>
          <cell r="F21" t="str">
            <v>Block 36 Lot 8</v>
          </cell>
          <cell r="G21">
            <v>330</v>
          </cell>
          <cell r="H21">
            <v>0</v>
          </cell>
          <cell r="I21">
            <v>0</v>
          </cell>
          <cell r="J21">
            <v>16104000</v>
          </cell>
        </row>
        <row r="22">
          <cell r="E22" t="str">
            <v>Yume/2/7</v>
          </cell>
          <cell r="F22" t="str">
            <v>Block 2 Lot 7</v>
          </cell>
          <cell r="G22">
            <v>508</v>
          </cell>
          <cell r="H22">
            <v>650000</v>
          </cell>
          <cell r="I22">
            <v>650000</v>
          </cell>
          <cell r="J22">
            <v>13004800</v>
          </cell>
        </row>
        <row r="23">
          <cell r="E23" t="str">
            <v>Yume/3/2</v>
          </cell>
          <cell r="F23" t="str">
            <v>Block 3 Lot 2</v>
          </cell>
          <cell r="G23">
            <v>500</v>
          </cell>
          <cell r="H23">
            <v>650000</v>
          </cell>
          <cell r="I23">
            <v>650000</v>
          </cell>
          <cell r="J23">
            <v>10455600</v>
          </cell>
        </row>
        <row r="24">
          <cell r="E24">
            <v>0</v>
          </cell>
          <cell r="F24">
            <v>0</v>
          </cell>
          <cell r="G24">
            <v>0</v>
          </cell>
          <cell r="H24">
            <v>0</v>
          </cell>
          <cell r="I24">
            <v>0</v>
          </cell>
          <cell r="J24">
            <v>0</v>
          </cell>
        </row>
        <row r="25">
          <cell r="E25">
            <v>0</v>
          </cell>
          <cell r="F25">
            <v>0</v>
          </cell>
          <cell r="G25">
            <v>0</v>
          </cell>
          <cell r="H25">
            <v>0</v>
          </cell>
          <cell r="I25">
            <v>0</v>
          </cell>
          <cell r="J25">
            <v>0</v>
          </cell>
        </row>
        <row r="26">
          <cell r="E26">
            <v>0</v>
          </cell>
          <cell r="F26">
            <v>0</v>
          </cell>
          <cell r="G26">
            <v>0</v>
          </cell>
          <cell r="H26">
            <v>0</v>
          </cell>
          <cell r="I26">
            <v>0</v>
          </cell>
          <cell r="J26">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E34">
            <v>0</v>
          </cell>
          <cell r="F34">
            <v>0</v>
          </cell>
          <cell r="G34">
            <v>0</v>
          </cell>
          <cell r="H34">
            <v>0</v>
          </cell>
          <cell r="I34">
            <v>0</v>
          </cell>
          <cell r="J34">
            <v>0</v>
          </cell>
        </row>
        <row r="35">
          <cell r="E35">
            <v>0</v>
          </cell>
          <cell r="F35">
            <v>0</v>
          </cell>
          <cell r="G35">
            <v>0</v>
          </cell>
          <cell r="H35">
            <v>0</v>
          </cell>
          <cell r="I35">
            <v>0</v>
          </cell>
          <cell r="J35">
            <v>0</v>
          </cell>
        </row>
        <row r="36">
          <cell r="E36">
            <v>0</v>
          </cell>
          <cell r="F36">
            <v>0</v>
          </cell>
          <cell r="G36">
            <v>0</v>
          </cell>
          <cell r="H36">
            <v>0</v>
          </cell>
          <cell r="I36">
            <v>0</v>
          </cell>
          <cell r="J36">
            <v>0</v>
          </cell>
        </row>
        <row r="37">
          <cell r="E37">
            <v>0</v>
          </cell>
          <cell r="F37">
            <v>0</v>
          </cell>
          <cell r="G37">
            <v>0</v>
          </cell>
          <cell r="H37">
            <v>0</v>
          </cell>
          <cell r="I37">
            <v>0</v>
          </cell>
          <cell r="J37">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E41">
            <v>0</v>
          </cell>
          <cell r="F41">
            <v>0</v>
          </cell>
          <cell r="G41">
            <v>0</v>
          </cell>
          <cell r="H41">
            <v>0</v>
          </cell>
          <cell r="I41">
            <v>0</v>
          </cell>
          <cell r="J41">
            <v>0</v>
          </cell>
        </row>
        <row r="42">
          <cell r="E42">
            <v>0</v>
          </cell>
          <cell r="F42">
            <v>0</v>
          </cell>
          <cell r="G42">
            <v>0</v>
          </cell>
          <cell r="H42">
            <v>0</v>
          </cell>
          <cell r="I42">
            <v>0</v>
          </cell>
          <cell r="J42">
            <v>0</v>
          </cell>
        </row>
        <row r="43">
          <cell r="E43">
            <v>0</v>
          </cell>
          <cell r="F43">
            <v>0</v>
          </cell>
          <cell r="G43">
            <v>0</v>
          </cell>
          <cell r="H43">
            <v>0</v>
          </cell>
          <cell r="I43">
            <v>0</v>
          </cell>
          <cell r="J43">
            <v>0</v>
          </cell>
        </row>
        <row r="44">
          <cell r="E44">
            <v>0</v>
          </cell>
          <cell r="F44">
            <v>0</v>
          </cell>
          <cell r="G44">
            <v>0</v>
          </cell>
          <cell r="H44">
            <v>0</v>
          </cell>
          <cell r="I44">
            <v>0</v>
          </cell>
          <cell r="J44">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8">
          <cell r="E48">
            <v>0</v>
          </cell>
          <cell r="F48">
            <v>0</v>
          </cell>
          <cell r="G48">
            <v>0</v>
          </cell>
          <cell r="H48">
            <v>0</v>
          </cell>
          <cell r="I48">
            <v>0</v>
          </cell>
          <cell r="J48">
            <v>0</v>
          </cell>
        </row>
        <row r="49">
          <cell r="E49">
            <v>0</v>
          </cell>
          <cell r="F49">
            <v>0</v>
          </cell>
          <cell r="G49">
            <v>0</v>
          </cell>
          <cell r="H49">
            <v>0</v>
          </cell>
          <cell r="I49">
            <v>0</v>
          </cell>
          <cell r="J49">
            <v>0</v>
          </cell>
        </row>
        <row r="50">
          <cell r="E50">
            <v>0</v>
          </cell>
          <cell r="F50">
            <v>0</v>
          </cell>
          <cell r="G50">
            <v>0</v>
          </cell>
          <cell r="H50">
            <v>0</v>
          </cell>
          <cell r="I50">
            <v>0</v>
          </cell>
          <cell r="J50">
            <v>0</v>
          </cell>
        </row>
        <row r="51">
          <cell r="E51">
            <v>0</v>
          </cell>
          <cell r="F51">
            <v>0</v>
          </cell>
          <cell r="G51">
            <v>0</v>
          </cell>
          <cell r="H51">
            <v>0</v>
          </cell>
          <cell r="I51">
            <v>0</v>
          </cell>
          <cell r="J51">
            <v>0</v>
          </cell>
        </row>
        <row r="52">
          <cell r="E52">
            <v>0</v>
          </cell>
          <cell r="F52">
            <v>0</v>
          </cell>
          <cell r="G52">
            <v>0</v>
          </cell>
          <cell r="H52">
            <v>0</v>
          </cell>
          <cell r="I52">
            <v>0</v>
          </cell>
          <cell r="J52">
            <v>0</v>
          </cell>
        </row>
        <row r="53">
          <cell r="E53">
            <v>0</v>
          </cell>
          <cell r="F53">
            <v>0</v>
          </cell>
          <cell r="G53">
            <v>0</v>
          </cell>
          <cell r="H53">
            <v>0</v>
          </cell>
          <cell r="I53">
            <v>0</v>
          </cell>
          <cell r="J53">
            <v>0</v>
          </cell>
        </row>
        <row r="54">
          <cell r="E54">
            <v>0</v>
          </cell>
          <cell r="F54">
            <v>0</v>
          </cell>
          <cell r="G54">
            <v>0</v>
          </cell>
          <cell r="H54">
            <v>0</v>
          </cell>
          <cell r="I54">
            <v>0</v>
          </cell>
          <cell r="J54">
            <v>0</v>
          </cell>
        </row>
        <row r="55">
          <cell r="E55">
            <v>0</v>
          </cell>
          <cell r="F55">
            <v>0</v>
          </cell>
          <cell r="G55">
            <v>0</v>
          </cell>
          <cell r="H55">
            <v>0</v>
          </cell>
          <cell r="I55">
            <v>0</v>
          </cell>
          <cell r="J55">
            <v>0</v>
          </cell>
        </row>
        <row r="56">
          <cell r="E56">
            <v>0</v>
          </cell>
          <cell r="F56">
            <v>0</v>
          </cell>
          <cell r="G56">
            <v>0</v>
          </cell>
          <cell r="H56">
            <v>0</v>
          </cell>
          <cell r="I56">
            <v>0</v>
          </cell>
          <cell r="J56">
            <v>0</v>
          </cell>
        </row>
        <row r="57">
          <cell r="E57">
            <v>0</v>
          </cell>
          <cell r="F57">
            <v>0</v>
          </cell>
          <cell r="G57">
            <v>0</v>
          </cell>
          <cell r="H57">
            <v>0</v>
          </cell>
          <cell r="I57">
            <v>0</v>
          </cell>
          <cell r="J57">
            <v>0</v>
          </cell>
        </row>
        <row r="58">
          <cell r="E58">
            <v>0</v>
          </cell>
          <cell r="F58">
            <v>0</v>
          </cell>
          <cell r="G58">
            <v>0</v>
          </cell>
          <cell r="H58">
            <v>0</v>
          </cell>
          <cell r="I58">
            <v>0</v>
          </cell>
          <cell r="J58">
            <v>0</v>
          </cell>
        </row>
        <row r="59">
          <cell r="E59">
            <v>0</v>
          </cell>
          <cell r="F59">
            <v>0</v>
          </cell>
          <cell r="G59">
            <v>0</v>
          </cell>
          <cell r="H59">
            <v>0</v>
          </cell>
          <cell r="I59">
            <v>0</v>
          </cell>
          <cell r="J59">
            <v>0</v>
          </cell>
        </row>
        <row r="60">
          <cell r="E60">
            <v>0</v>
          </cell>
          <cell r="F60">
            <v>0</v>
          </cell>
          <cell r="G60">
            <v>0</v>
          </cell>
          <cell r="H60">
            <v>0</v>
          </cell>
          <cell r="I60">
            <v>0</v>
          </cell>
          <cell r="J60">
            <v>0</v>
          </cell>
        </row>
        <row r="61">
          <cell r="E61">
            <v>0</v>
          </cell>
          <cell r="F61">
            <v>0</v>
          </cell>
          <cell r="G61">
            <v>0</v>
          </cell>
          <cell r="H61">
            <v>0</v>
          </cell>
          <cell r="I61">
            <v>0</v>
          </cell>
          <cell r="J61">
            <v>0</v>
          </cell>
        </row>
        <row r="62">
          <cell r="E62">
            <v>0</v>
          </cell>
          <cell r="F62">
            <v>0</v>
          </cell>
          <cell r="G62">
            <v>0</v>
          </cell>
          <cell r="H62">
            <v>0</v>
          </cell>
          <cell r="I62">
            <v>0</v>
          </cell>
          <cell r="J62">
            <v>0</v>
          </cell>
        </row>
        <row r="63">
          <cell r="E63">
            <v>0</v>
          </cell>
          <cell r="F63">
            <v>0</v>
          </cell>
          <cell r="G63">
            <v>0</v>
          </cell>
          <cell r="H63">
            <v>0</v>
          </cell>
          <cell r="I63">
            <v>0</v>
          </cell>
          <cell r="J63">
            <v>0</v>
          </cell>
        </row>
        <row r="64">
          <cell r="E64">
            <v>0</v>
          </cell>
          <cell r="F64">
            <v>0</v>
          </cell>
          <cell r="G64">
            <v>0</v>
          </cell>
          <cell r="H64">
            <v>0</v>
          </cell>
          <cell r="I64">
            <v>0</v>
          </cell>
          <cell r="J64">
            <v>0</v>
          </cell>
        </row>
        <row r="65">
          <cell r="E65">
            <v>0</v>
          </cell>
          <cell r="F65">
            <v>0</v>
          </cell>
          <cell r="G65">
            <v>0</v>
          </cell>
          <cell r="H65">
            <v>0</v>
          </cell>
          <cell r="I65">
            <v>0</v>
          </cell>
          <cell r="J65">
            <v>0</v>
          </cell>
        </row>
        <row r="66">
          <cell r="E66">
            <v>0</v>
          </cell>
          <cell r="F66">
            <v>0</v>
          </cell>
          <cell r="G66">
            <v>0</v>
          </cell>
          <cell r="H66">
            <v>0</v>
          </cell>
          <cell r="I66">
            <v>0</v>
          </cell>
          <cell r="J66">
            <v>0</v>
          </cell>
        </row>
        <row r="67">
          <cell r="E67">
            <v>0</v>
          </cell>
          <cell r="F67">
            <v>0</v>
          </cell>
          <cell r="G67">
            <v>0</v>
          </cell>
          <cell r="H67">
            <v>0</v>
          </cell>
          <cell r="I67">
            <v>0</v>
          </cell>
          <cell r="J67">
            <v>0</v>
          </cell>
        </row>
        <row r="68">
          <cell r="E68">
            <v>0</v>
          </cell>
          <cell r="F68">
            <v>0</v>
          </cell>
          <cell r="G68">
            <v>0</v>
          </cell>
          <cell r="H68">
            <v>0</v>
          </cell>
          <cell r="I68">
            <v>0</v>
          </cell>
          <cell r="J68">
            <v>0</v>
          </cell>
        </row>
        <row r="69">
          <cell r="E69">
            <v>0</v>
          </cell>
          <cell r="F69">
            <v>0</v>
          </cell>
          <cell r="G69">
            <v>0</v>
          </cell>
          <cell r="H69">
            <v>0</v>
          </cell>
          <cell r="I69">
            <v>0</v>
          </cell>
          <cell r="J69">
            <v>0</v>
          </cell>
        </row>
        <row r="70">
          <cell r="E70">
            <v>0</v>
          </cell>
          <cell r="F70">
            <v>0</v>
          </cell>
          <cell r="G70">
            <v>0</v>
          </cell>
          <cell r="H70">
            <v>0</v>
          </cell>
          <cell r="I70">
            <v>0</v>
          </cell>
          <cell r="J70">
            <v>0</v>
          </cell>
        </row>
        <row r="71">
          <cell r="E71">
            <v>0</v>
          </cell>
          <cell r="F71">
            <v>0</v>
          </cell>
          <cell r="G71">
            <v>0</v>
          </cell>
          <cell r="H71">
            <v>0</v>
          </cell>
          <cell r="I71">
            <v>0</v>
          </cell>
          <cell r="J71">
            <v>0</v>
          </cell>
        </row>
        <row r="72">
          <cell r="E72">
            <v>0</v>
          </cell>
          <cell r="F72">
            <v>0</v>
          </cell>
          <cell r="G72">
            <v>0</v>
          </cell>
          <cell r="H72">
            <v>0</v>
          </cell>
          <cell r="I72">
            <v>0</v>
          </cell>
          <cell r="J72">
            <v>0</v>
          </cell>
        </row>
        <row r="73">
          <cell r="E73">
            <v>0</v>
          </cell>
          <cell r="F73">
            <v>0</v>
          </cell>
          <cell r="G73">
            <v>0</v>
          </cell>
          <cell r="H73">
            <v>0</v>
          </cell>
          <cell r="I73">
            <v>0</v>
          </cell>
          <cell r="J73">
            <v>0</v>
          </cell>
        </row>
        <row r="74">
          <cell r="E74">
            <v>0</v>
          </cell>
          <cell r="F74">
            <v>0</v>
          </cell>
          <cell r="G74">
            <v>0</v>
          </cell>
          <cell r="H74">
            <v>0</v>
          </cell>
          <cell r="I74">
            <v>0</v>
          </cell>
          <cell r="J74">
            <v>0</v>
          </cell>
        </row>
        <row r="75">
          <cell r="E75">
            <v>0</v>
          </cell>
          <cell r="F75">
            <v>0</v>
          </cell>
          <cell r="G75">
            <v>0</v>
          </cell>
          <cell r="H75">
            <v>0</v>
          </cell>
          <cell r="I75">
            <v>0</v>
          </cell>
          <cell r="J75">
            <v>0</v>
          </cell>
        </row>
        <row r="76">
          <cell r="E76">
            <v>0</v>
          </cell>
          <cell r="F76">
            <v>0</v>
          </cell>
          <cell r="G76">
            <v>0</v>
          </cell>
          <cell r="H76">
            <v>0</v>
          </cell>
          <cell r="I76">
            <v>0</v>
          </cell>
          <cell r="J76">
            <v>0</v>
          </cell>
        </row>
        <row r="77">
          <cell r="E77">
            <v>0</v>
          </cell>
          <cell r="F77">
            <v>0</v>
          </cell>
          <cell r="G77">
            <v>0</v>
          </cell>
          <cell r="H77">
            <v>0</v>
          </cell>
          <cell r="I77">
            <v>0</v>
          </cell>
          <cell r="J77">
            <v>0</v>
          </cell>
        </row>
        <row r="78">
          <cell r="E78">
            <v>0</v>
          </cell>
          <cell r="F78">
            <v>0</v>
          </cell>
          <cell r="G78">
            <v>0</v>
          </cell>
          <cell r="H78">
            <v>0</v>
          </cell>
          <cell r="I78">
            <v>0</v>
          </cell>
          <cell r="J78">
            <v>0</v>
          </cell>
        </row>
        <row r="79">
          <cell r="E79">
            <v>0</v>
          </cell>
          <cell r="F79">
            <v>0</v>
          </cell>
          <cell r="G79">
            <v>0</v>
          </cell>
          <cell r="H79">
            <v>0</v>
          </cell>
          <cell r="I79">
            <v>0</v>
          </cell>
          <cell r="J79">
            <v>0</v>
          </cell>
        </row>
        <row r="80">
          <cell r="E80">
            <v>0</v>
          </cell>
          <cell r="F80">
            <v>0</v>
          </cell>
          <cell r="G80">
            <v>0</v>
          </cell>
          <cell r="H80">
            <v>0</v>
          </cell>
          <cell r="I80">
            <v>0</v>
          </cell>
          <cell r="J80">
            <v>0</v>
          </cell>
        </row>
        <row r="81">
          <cell r="E81">
            <v>0</v>
          </cell>
          <cell r="F81">
            <v>0</v>
          </cell>
          <cell r="G81">
            <v>0</v>
          </cell>
          <cell r="H81">
            <v>0</v>
          </cell>
          <cell r="I81">
            <v>0</v>
          </cell>
          <cell r="J81">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Sheet1"/>
      <sheetName val="Member_Cash"/>
      <sheetName val="Member_Inst1"/>
      <sheetName val="Member_Inst2"/>
      <sheetName val="Member_Inst3"/>
      <sheetName val="Member_Inst4"/>
      <sheetName val="Member_Inst5"/>
      <sheetName val="Member_Promo Term"/>
      <sheetName val="Non-Member_Cash"/>
      <sheetName val="Non-Member_Inst1"/>
      <sheetName val="Non-Member_Inst2"/>
      <sheetName val="Non-Member_Inst3"/>
      <sheetName val="Non-Member_Inst4"/>
      <sheetName val="Non-Member_Inst5"/>
      <sheetName val="Non-Member_Promo Term"/>
      <sheetName val="Katsura Member_Cash"/>
      <sheetName val="Katsura Member_Inst1"/>
      <sheetName val="Katsura Member_Inst2"/>
      <sheetName val="Katsura Member_Inst3"/>
      <sheetName val="Katsura Member_Inst4"/>
      <sheetName val="KatsuraMember_Inst5"/>
      <sheetName val="Katsura Non member_Cash"/>
      <sheetName val="Katsura Non member_Inst1"/>
      <sheetName val="Katsura Non member_Inst2"/>
      <sheetName val="Katsura Non member_Inst3"/>
      <sheetName val="Katsura Non member_Inst4"/>
      <sheetName val="Katsura Non member_Inst5"/>
      <sheetName val="Sycamore Member_Cash"/>
      <sheetName val="Sycamore Member_Inst1"/>
      <sheetName val="Sycamore Member_Inst2"/>
      <sheetName val="Sycamore Member_Inst3"/>
      <sheetName val="Sycamore Member_Inst4"/>
      <sheetName val="Sycamore Member_Inst5"/>
      <sheetName val="Sycamore Non Member_Cash"/>
      <sheetName val="Sycamore Non Member_Inst1"/>
      <sheetName val="Sycamore Non Member_Inst2"/>
      <sheetName val="Sycamore Non Member_Inst3"/>
      <sheetName val="Sycamore Non Member_Inst4"/>
      <sheetName val="Sycamore Non Member_Inst5"/>
      <sheetName val="Yume Member_Cash"/>
      <sheetName val="Yume Member_SpotDP1"/>
      <sheetName val="Yume Member_Spot DP2"/>
      <sheetName val="Yume Member_Spot DP3"/>
      <sheetName val="Yume Member_No DP"/>
      <sheetName val="Yume Member_Special Term"/>
      <sheetName val="Yume Non-member_Cash"/>
      <sheetName val="Yume Non-member Spot DP1"/>
      <sheetName val="Yume Non-member Spot DP2"/>
      <sheetName val="Yume Non-member Spot DP3"/>
      <sheetName val="Yume Non-member No DP"/>
      <sheetName val="Yume Non-member_Special Term"/>
    </sheetNames>
    <sheetDataSet>
      <sheetData sheetId="0" refreshError="1">
        <row r="6">
          <cell r="N6" t="str">
            <v>Tivoli Place/1/17</v>
          </cell>
        </row>
      </sheetData>
      <sheetData sheetId="1" refreshError="1">
        <row r="4">
          <cell r="H4" t="str">
            <v>SHARE</v>
          </cell>
          <cell r="I4" t="str">
            <v>VALUATION</v>
          </cell>
        </row>
        <row r="5">
          <cell r="E5" t="str">
            <v>CONCATENATE</v>
          </cell>
          <cell r="F5" t="str">
            <v>HOUSE ADDRESS</v>
          </cell>
          <cell r="G5" t="str">
            <v>LOT AREA</v>
          </cell>
          <cell r="H5" t="str">
            <v>NON MEMBER</v>
          </cell>
          <cell r="I5" t="str">
            <v>MEMBER</v>
          </cell>
          <cell r="J5" t="str">
            <v>SELLING PRICE</v>
          </cell>
          <cell r="K5" t="str">
            <v>DISCOUNT</v>
          </cell>
        </row>
        <row r="6">
          <cell r="E6" t="str">
            <v>Alta Mira/16/Paseo de Alta Mira</v>
          </cell>
          <cell r="G6">
            <v>1009</v>
          </cell>
          <cell r="H6">
            <v>750000</v>
          </cell>
          <cell r="I6">
            <v>350000</v>
          </cell>
          <cell r="J6">
            <v>15821120.000000002</v>
          </cell>
          <cell r="K6">
            <v>0.12</v>
          </cell>
        </row>
        <row r="7">
          <cell r="E7" t="str">
            <v>Alta Mira/18/Paseo de Alta Mira</v>
          </cell>
          <cell r="G7">
            <v>978</v>
          </cell>
          <cell r="H7">
            <v>750000</v>
          </cell>
          <cell r="I7">
            <v>350000</v>
          </cell>
          <cell r="J7">
            <v>15335040.000000002</v>
          </cell>
          <cell r="K7">
            <v>0.12</v>
          </cell>
        </row>
        <row r="8">
          <cell r="E8" t="str">
            <v>Alta Mira/20/Paseo de Alta Mira</v>
          </cell>
          <cell r="G8">
            <v>1106</v>
          </cell>
          <cell r="H8">
            <v>750000</v>
          </cell>
          <cell r="I8">
            <v>350000</v>
          </cell>
          <cell r="J8">
            <v>17342080.000000004</v>
          </cell>
          <cell r="K8">
            <v>0.12</v>
          </cell>
        </row>
        <row r="9">
          <cell r="E9" t="str">
            <v>Kew Gardens/7/23</v>
          </cell>
          <cell r="G9">
            <v>528</v>
          </cell>
          <cell r="H9">
            <v>750000</v>
          </cell>
          <cell r="I9">
            <v>350000</v>
          </cell>
          <cell r="J9">
            <v>6859776.0000000009</v>
          </cell>
          <cell r="K9">
            <v>0.12</v>
          </cell>
        </row>
        <row r="10">
          <cell r="E10" t="str">
            <v>Kew Gardens/7/24</v>
          </cell>
          <cell r="G10">
            <v>474</v>
          </cell>
          <cell r="H10">
            <v>750000</v>
          </cell>
          <cell r="I10">
            <v>350000</v>
          </cell>
          <cell r="J10">
            <v>6105120.0000000009</v>
          </cell>
          <cell r="K10">
            <v>0.12</v>
          </cell>
        </row>
        <row r="11">
          <cell r="E11" t="str">
            <v>Kew Gardens/7/25</v>
          </cell>
          <cell r="G11">
            <v>415</v>
          </cell>
          <cell r="H11">
            <v>750000</v>
          </cell>
          <cell r="I11">
            <v>350000</v>
          </cell>
          <cell r="J11">
            <v>5345200.0000000009</v>
          </cell>
          <cell r="K11">
            <v>0.1</v>
          </cell>
        </row>
        <row r="12">
          <cell r="E12" t="str">
            <v>Kew Gardens/7/26</v>
          </cell>
          <cell r="G12">
            <v>415</v>
          </cell>
          <cell r="H12">
            <v>750000</v>
          </cell>
          <cell r="I12">
            <v>350000</v>
          </cell>
          <cell r="J12">
            <v>5345200.0000000009</v>
          </cell>
          <cell r="K12">
            <v>0.1</v>
          </cell>
        </row>
        <row r="13">
          <cell r="E13" t="str">
            <v>Kew Gardens/7/16</v>
          </cell>
          <cell r="G13">
            <v>400</v>
          </cell>
          <cell r="H13">
            <v>750000</v>
          </cell>
          <cell r="I13">
            <v>350000</v>
          </cell>
          <cell r="J13">
            <v>5152000</v>
          </cell>
          <cell r="K13">
            <v>0</v>
          </cell>
        </row>
        <row r="14">
          <cell r="E14" t="str">
            <v>Tivoli Place/1/17</v>
          </cell>
          <cell r="G14">
            <v>300</v>
          </cell>
          <cell r="H14">
            <v>750000</v>
          </cell>
          <cell r="I14">
            <v>350000</v>
          </cell>
          <cell r="J14">
            <v>4065600</v>
          </cell>
          <cell r="K14">
            <v>0</v>
          </cell>
        </row>
        <row r="15">
          <cell r="E15" t="str">
            <v>Tivoli Place/1/23</v>
          </cell>
          <cell r="G15">
            <v>453</v>
          </cell>
          <cell r="H15">
            <v>750000</v>
          </cell>
          <cell r="I15">
            <v>350000</v>
          </cell>
          <cell r="J15">
            <v>6189792.0000000009</v>
          </cell>
          <cell r="K15">
            <v>0.05</v>
          </cell>
        </row>
        <row r="16">
          <cell r="E16" t="str">
            <v>Tivoli Place/1/25</v>
          </cell>
          <cell r="G16">
            <v>416</v>
          </cell>
          <cell r="H16">
            <v>750000</v>
          </cell>
          <cell r="I16">
            <v>350000</v>
          </cell>
          <cell r="J16">
            <v>5684224.0000000009</v>
          </cell>
          <cell r="K16">
            <v>0.08</v>
          </cell>
        </row>
        <row r="17">
          <cell r="E17" t="str">
            <v>Tivoli Place/1/26</v>
          </cell>
          <cell r="G17">
            <v>358</v>
          </cell>
          <cell r="H17">
            <v>750000</v>
          </cell>
          <cell r="I17">
            <v>350000</v>
          </cell>
          <cell r="J17">
            <v>4851616</v>
          </cell>
          <cell r="K17">
            <v>0.05</v>
          </cell>
        </row>
        <row r="18">
          <cell r="E18" t="str">
            <v>Tivoli Place/2/8</v>
          </cell>
          <cell r="G18">
            <v>1221</v>
          </cell>
          <cell r="H18">
            <v>750000</v>
          </cell>
          <cell r="I18">
            <v>350000</v>
          </cell>
          <cell r="J18">
            <v>16957248</v>
          </cell>
          <cell r="K18">
            <v>0.15</v>
          </cell>
        </row>
        <row r="19">
          <cell r="E19" t="str">
            <v>Tivoli Place/3/12</v>
          </cell>
          <cell r="G19">
            <v>389</v>
          </cell>
          <cell r="H19">
            <v>750000</v>
          </cell>
          <cell r="I19">
            <v>350000</v>
          </cell>
          <cell r="J19">
            <v>5315296.0000000009</v>
          </cell>
          <cell r="K19">
            <v>0.12</v>
          </cell>
        </row>
        <row r="20">
          <cell r="E20" t="str">
            <v>Tivoli Place/3/15</v>
          </cell>
          <cell r="G20">
            <v>300</v>
          </cell>
          <cell r="H20">
            <v>750000</v>
          </cell>
          <cell r="I20">
            <v>350000</v>
          </cell>
          <cell r="J20">
            <v>4065600</v>
          </cell>
          <cell r="K20">
            <v>0.05</v>
          </cell>
        </row>
        <row r="21">
          <cell r="E21" t="str">
            <v>Tivoli Place/3/16</v>
          </cell>
          <cell r="G21">
            <v>300</v>
          </cell>
          <cell r="H21">
            <v>750000</v>
          </cell>
          <cell r="I21">
            <v>350000</v>
          </cell>
          <cell r="J21">
            <v>4032000</v>
          </cell>
          <cell r="K21">
            <v>0.05</v>
          </cell>
        </row>
        <row r="22">
          <cell r="E22" t="str">
            <v>Tivoli Place/5/2</v>
          </cell>
          <cell r="G22">
            <v>300</v>
          </cell>
          <cell r="H22">
            <v>750000</v>
          </cell>
          <cell r="I22">
            <v>350000</v>
          </cell>
          <cell r="J22">
            <v>4032000</v>
          </cell>
          <cell r="K22">
            <v>0</v>
          </cell>
        </row>
        <row r="23">
          <cell r="E23" t="str">
            <v>Tivoli Place/5/7</v>
          </cell>
          <cell r="G23">
            <v>335</v>
          </cell>
          <cell r="H23">
            <v>750000</v>
          </cell>
          <cell r="I23">
            <v>350000</v>
          </cell>
          <cell r="J23">
            <v>4539920</v>
          </cell>
          <cell r="K23">
            <v>0</v>
          </cell>
        </row>
        <row r="24">
          <cell r="E24" t="str">
            <v>Tivoli Place/6/2</v>
          </cell>
          <cell r="G24">
            <v>307</v>
          </cell>
          <cell r="H24">
            <v>750000</v>
          </cell>
          <cell r="I24">
            <v>350000</v>
          </cell>
          <cell r="J24">
            <v>4194848</v>
          </cell>
          <cell r="K24">
            <v>0</v>
          </cell>
        </row>
        <row r="25">
          <cell r="E25" t="str">
            <v>Tivoli Place/3/20</v>
          </cell>
          <cell r="G25">
            <v>515</v>
          </cell>
          <cell r="H25">
            <v>750000</v>
          </cell>
          <cell r="I25">
            <v>350000</v>
          </cell>
          <cell r="J25">
            <v>7036960.0000000009</v>
          </cell>
          <cell r="K25">
            <v>0.12</v>
          </cell>
        </row>
        <row r="26">
          <cell r="E26" t="str">
            <v>Tivoli Place/3/21</v>
          </cell>
          <cell r="G26">
            <v>484</v>
          </cell>
          <cell r="H26">
            <v>750000</v>
          </cell>
          <cell r="I26">
            <v>350000</v>
          </cell>
          <cell r="J26">
            <v>6613376.0000000009</v>
          </cell>
          <cell r="K26">
            <v>0.12</v>
          </cell>
        </row>
        <row r="27">
          <cell r="E27" t="str">
            <v>Cotswold/7/3</v>
          </cell>
          <cell r="G27">
            <v>300</v>
          </cell>
          <cell r="H27">
            <v>750000</v>
          </cell>
          <cell r="I27">
            <v>350000</v>
          </cell>
          <cell r="J27">
            <v>4996800</v>
          </cell>
          <cell r="K27">
            <v>0</v>
          </cell>
        </row>
        <row r="28">
          <cell r="E28" t="str">
            <v>Cotswold/7/5</v>
          </cell>
          <cell r="G28">
            <v>383</v>
          </cell>
          <cell r="H28">
            <v>750000</v>
          </cell>
          <cell r="I28">
            <v>350000</v>
          </cell>
          <cell r="J28">
            <v>6379248</v>
          </cell>
          <cell r="K28">
            <v>0</v>
          </cell>
        </row>
        <row r="29">
          <cell r="E29" t="str">
            <v>Cotswold/3/17</v>
          </cell>
          <cell r="G29">
            <v>544</v>
          </cell>
          <cell r="H29">
            <v>750000</v>
          </cell>
          <cell r="I29">
            <v>350000</v>
          </cell>
          <cell r="J29">
            <v>9182720</v>
          </cell>
          <cell r="K29">
            <v>0</v>
          </cell>
        </row>
        <row r="30">
          <cell r="E30" t="str">
            <v>Cotswold/5/36</v>
          </cell>
          <cell r="G30">
            <v>398</v>
          </cell>
          <cell r="H30">
            <v>750000</v>
          </cell>
          <cell r="I30">
            <v>350000</v>
          </cell>
          <cell r="J30">
            <v>6828088</v>
          </cell>
          <cell r="K30">
            <v>0</v>
          </cell>
        </row>
        <row r="31">
          <cell r="E31" t="str">
            <v>Cotswold/5/37</v>
          </cell>
          <cell r="G31">
            <v>417</v>
          </cell>
          <cell r="H31">
            <v>750000</v>
          </cell>
          <cell r="I31">
            <v>350000</v>
          </cell>
          <cell r="J31">
            <v>7154052</v>
          </cell>
          <cell r="K31">
            <v>0</v>
          </cell>
        </row>
        <row r="32">
          <cell r="E32" t="str">
            <v>Terrazzas de Alava/15/9</v>
          </cell>
          <cell r="G32">
            <v>595</v>
          </cell>
          <cell r="H32">
            <v>750000</v>
          </cell>
          <cell r="I32">
            <v>350000</v>
          </cell>
          <cell r="J32">
            <v>8196720</v>
          </cell>
          <cell r="K32">
            <v>0</v>
          </cell>
        </row>
        <row r="33">
          <cell r="E33" t="str">
            <v>Terrazzas de Alava/17/6</v>
          </cell>
          <cell r="G33">
            <v>349</v>
          </cell>
          <cell r="H33">
            <v>750000</v>
          </cell>
          <cell r="I33">
            <v>350000</v>
          </cell>
          <cell r="J33">
            <v>4964176</v>
          </cell>
          <cell r="K33">
            <v>0</v>
          </cell>
        </row>
        <row r="34">
          <cell r="E34" t="str">
            <v>Terrazzas de Alava/17/5</v>
          </cell>
          <cell r="G34">
            <v>374</v>
          </cell>
          <cell r="H34">
            <v>750000</v>
          </cell>
          <cell r="I34">
            <v>350000</v>
          </cell>
          <cell r="J34">
            <v>5236000</v>
          </cell>
          <cell r="K34">
            <v>0</v>
          </cell>
        </row>
        <row r="35">
          <cell r="E35" t="str">
            <v>Katsura/1/6</v>
          </cell>
          <cell r="G35">
            <v>250</v>
          </cell>
          <cell r="H35">
            <v>750000</v>
          </cell>
          <cell r="I35">
            <v>350000</v>
          </cell>
          <cell r="J35">
            <v>4168640</v>
          </cell>
          <cell r="K35">
            <v>0.09</v>
          </cell>
        </row>
        <row r="36">
          <cell r="E36" t="str">
            <v>Katsura/1/7</v>
          </cell>
          <cell r="G36">
            <v>250</v>
          </cell>
          <cell r="H36">
            <v>750000</v>
          </cell>
          <cell r="I36">
            <v>350000</v>
          </cell>
          <cell r="J36">
            <v>4168640</v>
          </cell>
          <cell r="K36">
            <v>0.09</v>
          </cell>
        </row>
        <row r="37">
          <cell r="E37" t="str">
            <v>Katsura/1/8</v>
          </cell>
          <cell r="G37">
            <v>250</v>
          </cell>
          <cell r="H37">
            <v>750000</v>
          </cell>
          <cell r="I37">
            <v>350000</v>
          </cell>
          <cell r="J37">
            <v>4196750</v>
          </cell>
          <cell r="K37">
            <v>9.5000000000000001E-2</v>
          </cell>
        </row>
        <row r="38">
          <cell r="E38" t="str">
            <v>Katsura/1/15</v>
          </cell>
          <cell r="G38">
            <v>315</v>
          </cell>
          <cell r="H38">
            <v>750000</v>
          </cell>
          <cell r="I38">
            <v>350000</v>
          </cell>
          <cell r="J38">
            <v>5287766.4000000004</v>
          </cell>
          <cell r="K38">
            <v>0.13</v>
          </cell>
        </row>
        <row r="39">
          <cell r="E39" t="str">
            <v>Katsura/1/16</v>
          </cell>
          <cell r="G39">
            <v>250</v>
          </cell>
          <cell r="H39">
            <v>750000</v>
          </cell>
          <cell r="I39">
            <v>350000</v>
          </cell>
          <cell r="J39">
            <v>4168640</v>
          </cell>
          <cell r="K39">
            <v>0.12</v>
          </cell>
        </row>
        <row r="40">
          <cell r="E40" t="str">
            <v>Katsura/1/17</v>
          </cell>
          <cell r="G40">
            <v>250</v>
          </cell>
          <cell r="H40">
            <v>750000</v>
          </cell>
          <cell r="I40">
            <v>350000</v>
          </cell>
          <cell r="J40">
            <v>4168640</v>
          </cell>
          <cell r="K40">
            <v>0.12</v>
          </cell>
        </row>
        <row r="41">
          <cell r="E41" t="str">
            <v>Katsura/1/18</v>
          </cell>
          <cell r="G41">
            <v>250</v>
          </cell>
          <cell r="H41">
            <v>750000</v>
          </cell>
          <cell r="I41">
            <v>350000</v>
          </cell>
          <cell r="J41">
            <v>4168640</v>
          </cell>
          <cell r="K41">
            <v>0.12</v>
          </cell>
        </row>
        <row r="42">
          <cell r="E42" t="str">
            <v>Katsura/1/19</v>
          </cell>
          <cell r="G42">
            <v>250</v>
          </cell>
          <cell r="H42">
            <v>750000</v>
          </cell>
          <cell r="I42">
            <v>350000</v>
          </cell>
          <cell r="J42">
            <v>4168640</v>
          </cell>
          <cell r="K42">
            <v>0.12</v>
          </cell>
        </row>
        <row r="43">
          <cell r="E43" t="str">
            <v>Katsura/1/20</v>
          </cell>
          <cell r="G43">
            <v>250</v>
          </cell>
          <cell r="H43">
            <v>750000</v>
          </cell>
          <cell r="I43">
            <v>350000</v>
          </cell>
          <cell r="J43">
            <v>4168640</v>
          </cell>
          <cell r="K43">
            <v>0.12</v>
          </cell>
        </row>
        <row r="44">
          <cell r="E44" t="str">
            <v>Katsura/1/21</v>
          </cell>
          <cell r="G44">
            <v>250</v>
          </cell>
          <cell r="H44">
            <v>750000</v>
          </cell>
          <cell r="I44">
            <v>350000</v>
          </cell>
          <cell r="J44">
            <v>4196640</v>
          </cell>
          <cell r="K44">
            <v>0.125</v>
          </cell>
        </row>
        <row r="45">
          <cell r="E45" t="str">
            <v>Katsura/2/5</v>
          </cell>
          <cell r="G45">
            <v>250</v>
          </cell>
          <cell r="H45">
            <v>750000</v>
          </cell>
          <cell r="I45">
            <v>350000</v>
          </cell>
          <cell r="J45">
            <v>4168640</v>
          </cell>
          <cell r="K45">
            <v>0.09</v>
          </cell>
        </row>
        <row r="46">
          <cell r="E46" t="str">
            <v>Katsura/2/6</v>
          </cell>
          <cell r="G46">
            <v>250</v>
          </cell>
          <cell r="H46">
            <v>750000</v>
          </cell>
          <cell r="I46">
            <v>350000</v>
          </cell>
          <cell r="J46">
            <v>4168640</v>
          </cell>
          <cell r="K46">
            <v>0.09</v>
          </cell>
        </row>
        <row r="47">
          <cell r="E47" t="str">
            <v>Katsura/2/9</v>
          </cell>
          <cell r="G47">
            <v>250</v>
          </cell>
          <cell r="H47">
            <v>750000</v>
          </cell>
          <cell r="I47">
            <v>350000</v>
          </cell>
          <cell r="J47">
            <v>4168640</v>
          </cell>
          <cell r="K47">
            <v>0.09</v>
          </cell>
        </row>
        <row r="48">
          <cell r="E48" t="str">
            <v>Katsura/2/10</v>
          </cell>
          <cell r="G48">
            <v>250</v>
          </cell>
          <cell r="H48">
            <v>750000</v>
          </cell>
          <cell r="I48">
            <v>350000</v>
          </cell>
          <cell r="J48">
            <v>4168640</v>
          </cell>
          <cell r="K48">
            <v>0.1</v>
          </cell>
        </row>
        <row r="49">
          <cell r="E49" t="str">
            <v>Katsura/2/11</v>
          </cell>
          <cell r="G49">
            <v>250</v>
          </cell>
          <cell r="H49">
            <v>750000</v>
          </cell>
          <cell r="I49">
            <v>350000</v>
          </cell>
          <cell r="J49">
            <v>4168640</v>
          </cell>
          <cell r="K49">
            <v>0.1</v>
          </cell>
        </row>
        <row r="50">
          <cell r="E50" t="str">
            <v>Katsura/3/2</v>
          </cell>
          <cell r="G50">
            <v>250</v>
          </cell>
          <cell r="H50">
            <v>750000</v>
          </cell>
          <cell r="I50">
            <v>350000</v>
          </cell>
          <cell r="J50">
            <v>4168640</v>
          </cell>
          <cell r="K50">
            <v>0.125</v>
          </cell>
        </row>
        <row r="51">
          <cell r="E51" t="str">
            <v>Katsura/3/3</v>
          </cell>
          <cell r="G51">
            <v>250</v>
          </cell>
          <cell r="H51">
            <v>750000</v>
          </cell>
          <cell r="I51">
            <v>350000</v>
          </cell>
          <cell r="J51">
            <v>4168640</v>
          </cell>
          <cell r="K51">
            <v>0.15</v>
          </cell>
        </row>
        <row r="52">
          <cell r="E52" t="str">
            <v>Katsura/3/17</v>
          </cell>
          <cell r="G52">
            <v>250</v>
          </cell>
          <cell r="H52">
            <v>750000</v>
          </cell>
          <cell r="I52">
            <v>350000</v>
          </cell>
          <cell r="J52">
            <v>4168640</v>
          </cell>
          <cell r="K52">
            <v>0.1</v>
          </cell>
        </row>
        <row r="53">
          <cell r="E53" t="str">
            <v>Katsura/3/18</v>
          </cell>
          <cell r="G53">
            <v>250</v>
          </cell>
          <cell r="H53">
            <v>750000</v>
          </cell>
          <cell r="I53">
            <v>350000</v>
          </cell>
          <cell r="J53">
            <v>4168640</v>
          </cell>
          <cell r="K53">
            <v>0.1</v>
          </cell>
        </row>
        <row r="54">
          <cell r="E54" t="str">
            <v>Katsura/3/23</v>
          </cell>
          <cell r="G54">
            <v>304</v>
          </cell>
          <cell r="H54">
            <v>750000</v>
          </cell>
          <cell r="I54">
            <v>350000</v>
          </cell>
          <cell r="J54">
            <v>5103115</v>
          </cell>
          <cell r="K54">
            <v>0.13</v>
          </cell>
        </row>
        <row r="55">
          <cell r="E55" t="str">
            <v>Katsura/3/24</v>
          </cell>
          <cell r="G55">
            <v>250</v>
          </cell>
          <cell r="H55">
            <v>750000</v>
          </cell>
          <cell r="I55">
            <v>350000</v>
          </cell>
          <cell r="J55">
            <v>4196640</v>
          </cell>
          <cell r="K55">
            <v>0.115</v>
          </cell>
        </row>
        <row r="56">
          <cell r="E56" t="str">
            <v>Katsura/3/25</v>
          </cell>
          <cell r="G56">
            <v>250</v>
          </cell>
          <cell r="H56">
            <v>750000</v>
          </cell>
          <cell r="I56">
            <v>350000</v>
          </cell>
          <cell r="J56">
            <v>4196640</v>
          </cell>
          <cell r="K56">
            <v>0.115</v>
          </cell>
        </row>
        <row r="57">
          <cell r="E57" t="str">
            <v>Katsura/3/26</v>
          </cell>
          <cell r="G57">
            <v>250</v>
          </cell>
          <cell r="H57">
            <v>750000</v>
          </cell>
          <cell r="I57">
            <v>350000</v>
          </cell>
          <cell r="J57">
            <v>4196640</v>
          </cell>
          <cell r="K57">
            <v>0.115</v>
          </cell>
        </row>
        <row r="58">
          <cell r="E58" t="str">
            <v>Katsura/3/27</v>
          </cell>
          <cell r="G58">
            <v>250</v>
          </cell>
          <cell r="H58">
            <v>750000</v>
          </cell>
          <cell r="I58">
            <v>350000</v>
          </cell>
          <cell r="J58">
            <v>4196640</v>
          </cell>
          <cell r="K58">
            <v>0.115</v>
          </cell>
        </row>
        <row r="59">
          <cell r="E59" t="str">
            <v>Katsura/5/6</v>
          </cell>
          <cell r="G59">
            <v>278</v>
          </cell>
          <cell r="H59">
            <v>750000</v>
          </cell>
          <cell r="I59">
            <v>350000</v>
          </cell>
          <cell r="J59">
            <v>4682240</v>
          </cell>
          <cell r="K59">
            <v>0.09</v>
          </cell>
        </row>
        <row r="60">
          <cell r="E60" t="str">
            <v>Katsura/5/7</v>
          </cell>
          <cell r="G60">
            <v>250</v>
          </cell>
          <cell r="H60">
            <v>750000</v>
          </cell>
          <cell r="I60">
            <v>350000</v>
          </cell>
          <cell r="J60">
            <v>4168640</v>
          </cell>
          <cell r="K60">
            <v>0.1</v>
          </cell>
        </row>
        <row r="61">
          <cell r="E61" t="str">
            <v>Katsura/7/5</v>
          </cell>
          <cell r="G61">
            <v>250</v>
          </cell>
          <cell r="H61">
            <v>750000</v>
          </cell>
          <cell r="I61">
            <v>350000</v>
          </cell>
          <cell r="J61">
            <v>4168640</v>
          </cell>
          <cell r="K61">
            <v>0.14000000000000001</v>
          </cell>
        </row>
        <row r="62">
          <cell r="E62" t="str">
            <v>Katsura/8/21</v>
          </cell>
          <cell r="G62">
            <v>335</v>
          </cell>
          <cell r="H62">
            <v>750000</v>
          </cell>
          <cell r="I62">
            <v>350000</v>
          </cell>
          <cell r="J62">
            <v>5642260</v>
          </cell>
          <cell r="K62">
            <v>0</v>
          </cell>
        </row>
        <row r="63">
          <cell r="E63" t="str">
            <v>Katsura/12/3</v>
          </cell>
          <cell r="G63">
            <v>250</v>
          </cell>
          <cell r="H63">
            <v>750000</v>
          </cell>
          <cell r="I63">
            <v>350000</v>
          </cell>
          <cell r="J63">
            <v>4168640</v>
          </cell>
          <cell r="K63">
            <v>0.13</v>
          </cell>
        </row>
        <row r="64">
          <cell r="E64" t="str">
            <v>Katsura/15/8</v>
          </cell>
          <cell r="G64">
            <v>329</v>
          </cell>
          <cell r="H64">
            <v>750000</v>
          </cell>
          <cell r="I64">
            <v>350000</v>
          </cell>
          <cell r="J64">
            <v>5541300</v>
          </cell>
          <cell r="K64">
            <v>0</v>
          </cell>
        </row>
        <row r="65">
          <cell r="E65" t="str">
            <v>Katsura/17/11</v>
          </cell>
          <cell r="G65">
            <v>250</v>
          </cell>
          <cell r="H65">
            <v>750000</v>
          </cell>
          <cell r="I65">
            <v>350000</v>
          </cell>
          <cell r="J65">
            <v>4168640</v>
          </cell>
          <cell r="K65">
            <v>0</v>
          </cell>
        </row>
        <row r="66">
          <cell r="E66" t="str">
            <v>Katsura/17/16</v>
          </cell>
          <cell r="G66">
            <v>516</v>
          </cell>
          <cell r="H66">
            <v>750000</v>
          </cell>
          <cell r="I66">
            <v>350000</v>
          </cell>
          <cell r="J66">
            <v>8690761</v>
          </cell>
          <cell r="K66">
            <v>0</v>
          </cell>
        </row>
        <row r="67">
          <cell r="E67" t="str">
            <v>Katsura/18/15</v>
          </cell>
          <cell r="G67">
            <v>356</v>
          </cell>
          <cell r="H67">
            <v>750000</v>
          </cell>
          <cell r="I67">
            <v>350000</v>
          </cell>
          <cell r="J67">
            <v>5936144</v>
          </cell>
          <cell r="K67">
            <v>0.12</v>
          </cell>
        </row>
        <row r="68">
          <cell r="E68" t="str">
            <v>Katsura/18/16</v>
          </cell>
          <cell r="G68">
            <v>255</v>
          </cell>
          <cell r="H68">
            <v>750000</v>
          </cell>
          <cell r="I68">
            <v>350000</v>
          </cell>
          <cell r="J68">
            <v>4252013</v>
          </cell>
          <cell r="K68">
            <v>0.15</v>
          </cell>
        </row>
        <row r="69">
          <cell r="E69" t="str">
            <v>Yume/1/3</v>
          </cell>
          <cell r="G69">
            <v>500</v>
          </cell>
          <cell r="H69">
            <v>750000</v>
          </cell>
          <cell r="I69">
            <v>350000</v>
          </cell>
          <cell r="J69">
            <v>7952000</v>
          </cell>
          <cell r="K69">
            <v>7.0000000000000007E-2</v>
          </cell>
        </row>
        <row r="70">
          <cell r="E70" t="str">
            <v>Yume/1/5</v>
          </cell>
          <cell r="G70">
            <v>539</v>
          </cell>
          <cell r="H70">
            <v>750000</v>
          </cell>
          <cell r="I70">
            <v>350000</v>
          </cell>
          <cell r="J70">
            <v>8785700</v>
          </cell>
          <cell r="K70">
            <v>0.1</v>
          </cell>
        </row>
        <row r="71">
          <cell r="E71" t="str">
            <v>Yume/1/7</v>
          </cell>
          <cell r="G71">
            <v>512</v>
          </cell>
          <cell r="H71">
            <v>750000</v>
          </cell>
          <cell r="I71">
            <v>350000</v>
          </cell>
          <cell r="J71">
            <v>8142848</v>
          </cell>
          <cell r="K71">
            <v>0.12</v>
          </cell>
        </row>
        <row r="72">
          <cell r="E72" t="str">
            <v>Yume/1/8</v>
          </cell>
          <cell r="G72">
            <v>500</v>
          </cell>
          <cell r="H72">
            <v>750000</v>
          </cell>
          <cell r="I72">
            <v>350000</v>
          </cell>
          <cell r="J72">
            <v>7952000</v>
          </cell>
          <cell r="K72">
            <v>0.12</v>
          </cell>
        </row>
        <row r="73">
          <cell r="E73" t="str">
            <v>Yume/1/11</v>
          </cell>
          <cell r="G73">
            <v>500</v>
          </cell>
          <cell r="H73">
            <v>750000</v>
          </cell>
          <cell r="I73">
            <v>350000</v>
          </cell>
          <cell r="J73">
            <v>7980000</v>
          </cell>
          <cell r="K73">
            <v>0.16</v>
          </cell>
        </row>
        <row r="74">
          <cell r="E74" t="str">
            <v>Yume/1/12</v>
          </cell>
          <cell r="G74">
            <v>506</v>
          </cell>
          <cell r="H74">
            <v>750000</v>
          </cell>
          <cell r="I74">
            <v>350000</v>
          </cell>
          <cell r="J74">
            <v>7934080</v>
          </cell>
          <cell r="K74">
            <v>0.16</v>
          </cell>
        </row>
        <row r="75">
          <cell r="E75" t="str">
            <v>Yume/1/15</v>
          </cell>
          <cell r="G75">
            <v>651</v>
          </cell>
          <cell r="H75">
            <v>750000</v>
          </cell>
          <cell r="I75">
            <v>350000</v>
          </cell>
          <cell r="J75">
            <v>10611300</v>
          </cell>
          <cell r="K75">
            <v>0.18</v>
          </cell>
        </row>
        <row r="76">
          <cell r="E76" t="str">
            <v>Yume/2/1</v>
          </cell>
          <cell r="G76">
            <v>563</v>
          </cell>
          <cell r="H76">
            <v>750000</v>
          </cell>
          <cell r="I76">
            <v>350000</v>
          </cell>
          <cell r="J76">
            <v>9176900</v>
          </cell>
          <cell r="K76">
            <v>0.2</v>
          </cell>
        </row>
        <row r="77">
          <cell r="E77" t="str">
            <v>Yume/2/2</v>
          </cell>
          <cell r="G77">
            <v>500</v>
          </cell>
          <cell r="H77">
            <v>750000</v>
          </cell>
          <cell r="I77">
            <v>350000</v>
          </cell>
          <cell r="J77">
            <v>7896000</v>
          </cell>
          <cell r="K77">
            <v>0.1</v>
          </cell>
        </row>
        <row r="78">
          <cell r="E78" t="str">
            <v>Yume/2/3</v>
          </cell>
          <cell r="G78">
            <v>500</v>
          </cell>
          <cell r="H78">
            <v>750000</v>
          </cell>
          <cell r="I78">
            <v>350000</v>
          </cell>
          <cell r="J78">
            <v>7896000</v>
          </cell>
          <cell r="K78">
            <v>0.1</v>
          </cell>
        </row>
        <row r="79">
          <cell r="E79" t="str">
            <v>Yume/2/5</v>
          </cell>
          <cell r="G79">
            <v>521</v>
          </cell>
          <cell r="H79">
            <v>750000</v>
          </cell>
          <cell r="I79">
            <v>350000</v>
          </cell>
          <cell r="J79">
            <v>8285984</v>
          </cell>
          <cell r="K79">
            <v>0.14000000000000001</v>
          </cell>
        </row>
        <row r="80">
          <cell r="E80" t="str">
            <v>Yume/2/6</v>
          </cell>
          <cell r="G80">
            <v>543</v>
          </cell>
          <cell r="H80">
            <v>750000</v>
          </cell>
          <cell r="I80">
            <v>350000</v>
          </cell>
          <cell r="J80">
            <v>8850900</v>
          </cell>
          <cell r="K80">
            <v>0.2</v>
          </cell>
        </row>
        <row r="81">
          <cell r="E81" t="str">
            <v>Yume/2/15</v>
          </cell>
          <cell r="G81">
            <v>501</v>
          </cell>
          <cell r="H81">
            <v>750000</v>
          </cell>
          <cell r="I81">
            <v>350000</v>
          </cell>
          <cell r="J81">
            <v>7911792</v>
          </cell>
          <cell r="K81">
            <v>0.17</v>
          </cell>
        </row>
        <row r="82">
          <cell r="E82" t="str">
            <v>Yume/2/16</v>
          </cell>
          <cell r="G82">
            <v>502</v>
          </cell>
          <cell r="H82">
            <v>750000</v>
          </cell>
          <cell r="I82">
            <v>350000</v>
          </cell>
          <cell r="J82">
            <v>7927584</v>
          </cell>
          <cell r="K82">
            <v>0.16</v>
          </cell>
        </row>
        <row r="83">
          <cell r="E83" t="str">
            <v>Yume/3/1</v>
          </cell>
          <cell r="G83">
            <v>685</v>
          </cell>
          <cell r="H83">
            <v>750000</v>
          </cell>
          <cell r="I83">
            <v>350000</v>
          </cell>
          <cell r="J83">
            <v>11508000</v>
          </cell>
          <cell r="K83">
            <v>0.06</v>
          </cell>
        </row>
        <row r="84">
          <cell r="E84" t="str">
            <v>Sycamore Heights/2/6</v>
          </cell>
          <cell r="G84">
            <v>301</v>
          </cell>
          <cell r="H84">
            <v>100000</v>
          </cell>
          <cell r="I84">
            <v>100000</v>
          </cell>
          <cell r="J84">
            <v>4372040</v>
          </cell>
          <cell r="K84">
            <v>0</v>
          </cell>
        </row>
        <row r="85">
          <cell r="E85" t="str">
            <v>Sycamore Heights/3/1</v>
          </cell>
          <cell r="G85">
            <v>334</v>
          </cell>
          <cell r="H85">
            <v>100000</v>
          </cell>
          <cell r="I85">
            <v>100000</v>
          </cell>
          <cell r="J85">
            <v>5112170</v>
          </cell>
          <cell r="K85">
            <v>0</v>
          </cell>
        </row>
        <row r="86">
          <cell r="E86" t="str">
            <v>Sycamore Heights/3/2</v>
          </cell>
          <cell r="G86">
            <v>358</v>
          </cell>
          <cell r="H86">
            <v>100000</v>
          </cell>
          <cell r="I86">
            <v>100000</v>
          </cell>
          <cell r="J86">
            <v>5267500</v>
          </cell>
          <cell r="K86">
            <v>0</v>
          </cell>
        </row>
        <row r="87">
          <cell r="E87" t="str">
            <v>Sycamore Heights/3/3</v>
          </cell>
          <cell r="G87">
            <v>340</v>
          </cell>
          <cell r="H87">
            <v>100000</v>
          </cell>
          <cell r="I87">
            <v>100000</v>
          </cell>
          <cell r="J87">
            <v>5002670</v>
          </cell>
          <cell r="K87">
            <v>0</v>
          </cell>
        </row>
        <row r="88">
          <cell r="E88" t="str">
            <v>Sycamore Heights/3/5</v>
          </cell>
          <cell r="G88">
            <v>340</v>
          </cell>
          <cell r="H88">
            <v>100000</v>
          </cell>
          <cell r="I88">
            <v>100000</v>
          </cell>
          <cell r="J88">
            <v>5002670</v>
          </cell>
          <cell r="K88">
            <v>0</v>
          </cell>
        </row>
        <row r="89">
          <cell r="E89" t="str">
            <v>Sycamore Heights/3/6</v>
          </cell>
          <cell r="G89">
            <v>362</v>
          </cell>
          <cell r="H89">
            <v>100000</v>
          </cell>
          <cell r="I89">
            <v>100000</v>
          </cell>
          <cell r="J89">
            <v>5299080</v>
          </cell>
          <cell r="K89">
            <v>0</v>
          </cell>
        </row>
        <row r="90">
          <cell r="E90" t="str">
            <v>Sycamore Heights/3/8</v>
          </cell>
          <cell r="G90">
            <v>384</v>
          </cell>
          <cell r="H90">
            <v>100000</v>
          </cell>
          <cell r="I90">
            <v>100000</v>
          </cell>
          <cell r="J90">
            <v>5899730</v>
          </cell>
          <cell r="K90">
            <v>0</v>
          </cell>
        </row>
        <row r="91">
          <cell r="E91" t="str">
            <v>Sycamore Heights/3/9</v>
          </cell>
          <cell r="G91">
            <v>340</v>
          </cell>
          <cell r="H91">
            <v>100000</v>
          </cell>
          <cell r="I91">
            <v>100000</v>
          </cell>
          <cell r="J91">
            <v>5026590</v>
          </cell>
          <cell r="K91">
            <v>0</v>
          </cell>
        </row>
        <row r="92">
          <cell r="E92" t="str">
            <v>Sycamore Heights/3/10</v>
          </cell>
          <cell r="G92">
            <v>335</v>
          </cell>
          <cell r="H92">
            <v>100000</v>
          </cell>
          <cell r="I92">
            <v>100000</v>
          </cell>
          <cell r="J92">
            <v>4952670</v>
          </cell>
          <cell r="K92">
            <v>0</v>
          </cell>
        </row>
        <row r="93">
          <cell r="E93" t="str">
            <v>Sycamore Heights/3/11</v>
          </cell>
          <cell r="G93">
            <v>325</v>
          </cell>
          <cell r="H93">
            <v>100000</v>
          </cell>
          <cell r="I93">
            <v>100000</v>
          </cell>
          <cell r="J93">
            <v>4804830</v>
          </cell>
          <cell r="K93">
            <v>0</v>
          </cell>
        </row>
        <row r="94">
          <cell r="E94" t="str">
            <v>Sycamore Heights/3/12</v>
          </cell>
          <cell r="G94">
            <v>321</v>
          </cell>
          <cell r="H94">
            <v>100000</v>
          </cell>
          <cell r="I94">
            <v>100000</v>
          </cell>
          <cell r="J94">
            <v>4931810</v>
          </cell>
          <cell r="K94">
            <v>0</v>
          </cell>
        </row>
        <row r="95">
          <cell r="E95" t="str">
            <v>Sycamore Heights/5/1</v>
          </cell>
          <cell r="G95">
            <v>349</v>
          </cell>
          <cell r="H95">
            <v>100000</v>
          </cell>
          <cell r="I95">
            <v>100000</v>
          </cell>
          <cell r="J95">
            <v>5341770</v>
          </cell>
          <cell r="K95">
            <v>0</v>
          </cell>
        </row>
        <row r="96">
          <cell r="E96" t="str">
            <v>Sycamore Heights/5/2</v>
          </cell>
          <cell r="G96">
            <v>330</v>
          </cell>
          <cell r="H96">
            <v>100000</v>
          </cell>
          <cell r="I96">
            <v>100000</v>
          </cell>
          <cell r="J96">
            <v>4855520</v>
          </cell>
          <cell r="K96">
            <v>0</v>
          </cell>
        </row>
        <row r="97">
          <cell r="E97" t="str">
            <v>Sycamore Heights/5/3</v>
          </cell>
          <cell r="G97">
            <v>338</v>
          </cell>
          <cell r="H97">
            <v>100000</v>
          </cell>
          <cell r="I97">
            <v>100000</v>
          </cell>
          <cell r="J97">
            <v>4973230</v>
          </cell>
          <cell r="K97">
            <v>0</v>
          </cell>
        </row>
        <row r="98">
          <cell r="E98" t="str">
            <v>Sycamore Heights/5/5</v>
          </cell>
          <cell r="G98">
            <v>354</v>
          </cell>
          <cell r="H98">
            <v>100000</v>
          </cell>
          <cell r="I98">
            <v>100000</v>
          </cell>
          <cell r="J98">
            <v>5208650</v>
          </cell>
          <cell r="K98">
            <v>0</v>
          </cell>
        </row>
        <row r="99">
          <cell r="E99" t="str">
            <v>Sycamore Heights/5/6</v>
          </cell>
          <cell r="G99">
            <v>356</v>
          </cell>
          <cell r="H99">
            <v>100000</v>
          </cell>
          <cell r="I99">
            <v>100000</v>
          </cell>
          <cell r="J99">
            <v>5448910</v>
          </cell>
          <cell r="K99">
            <v>0</v>
          </cell>
        </row>
        <row r="100">
          <cell r="E100" t="str">
            <v>Sycamore Heights/5/7</v>
          </cell>
          <cell r="G100">
            <v>348</v>
          </cell>
          <cell r="H100">
            <v>100000</v>
          </cell>
          <cell r="I100">
            <v>100000</v>
          </cell>
          <cell r="J100">
            <v>5346630</v>
          </cell>
          <cell r="K100">
            <v>0</v>
          </cell>
        </row>
        <row r="101">
          <cell r="E101" t="str">
            <v>Sycamore Heights/5/8</v>
          </cell>
          <cell r="G101">
            <v>339</v>
          </cell>
          <cell r="H101">
            <v>100000</v>
          </cell>
          <cell r="I101">
            <v>100000</v>
          </cell>
          <cell r="J101">
            <v>5011820</v>
          </cell>
          <cell r="K101">
            <v>0</v>
          </cell>
        </row>
        <row r="102">
          <cell r="E102" t="str">
            <v>Sycamore Heights/5/9</v>
          </cell>
          <cell r="G102">
            <v>364</v>
          </cell>
          <cell r="H102">
            <v>100000</v>
          </cell>
          <cell r="I102">
            <v>100000</v>
          </cell>
          <cell r="J102">
            <v>5381410</v>
          </cell>
          <cell r="K102">
            <v>0</v>
          </cell>
        </row>
        <row r="103">
          <cell r="E103" t="str">
            <v>Sycamore Heights/5/11</v>
          </cell>
          <cell r="G103">
            <v>353</v>
          </cell>
          <cell r="H103">
            <v>100000</v>
          </cell>
          <cell r="I103">
            <v>100000</v>
          </cell>
          <cell r="J103">
            <v>5423450</v>
          </cell>
          <cell r="K103">
            <v>0</v>
          </cell>
        </row>
        <row r="104">
          <cell r="E104" t="str">
            <v>Sycamore Heights/6/1</v>
          </cell>
          <cell r="G104">
            <v>353</v>
          </cell>
          <cell r="H104">
            <v>100000</v>
          </cell>
          <cell r="I104">
            <v>100000</v>
          </cell>
          <cell r="J104">
            <v>5402980</v>
          </cell>
          <cell r="K104">
            <v>0</v>
          </cell>
        </row>
        <row r="105">
          <cell r="E105" t="str">
            <v>Sycamore Heights/6/2</v>
          </cell>
          <cell r="G105">
            <v>300</v>
          </cell>
          <cell r="H105">
            <v>100000</v>
          </cell>
          <cell r="I105">
            <v>100000</v>
          </cell>
          <cell r="J105">
            <v>4383050</v>
          </cell>
          <cell r="K105">
            <v>0</v>
          </cell>
        </row>
        <row r="106">
          <cell r="E106" t="str">
            <v>Sycamore Heights/6/3</v>
          </cell>
          <cell r="G106">
            <v>300</v>
          </cell>
          <cell r="H106">
            <v>100000</v>
          </cell>
          <cell r="I106">
            <v>100000</v>
          </cell>
          <cell r="J106">
            <v>4383050</v>
          </cell>
          <cell r="K106">
            <v>0</v>
          </cell>
        </row>
        <row r="107">
          <cell r="E107" t="str">
            <v>Sycamore Heights/6/5</v>
          </cell>
          <cell r="G107">
            <v>310</v>
          </cell>
          <cell r="H107">
            <v>100000</v>
          </cell>
          <cell r="I107">
            <v>100000</v>
          </cell>
          <cell r="J107">
            <v>4529160</v>
          </cell>
          <cell r="K107">
            <v>0</v>
          </cell>
        </row>
        <row r="108">
          <cell r="E108" t="str">
            <v>Sycamore Heights/6/6</v>
          </cell>
          <cell r="G108">
            <v>335</v>
          </cell>
          <cell r="H108">
            <v>100000</v>
          </cell>
          <cell r="I108">
            <v>100000</v>
          </cell>
          <cell r="J108">
            <v>5127470</v>
          </cell>
          <cell r="K108">
            <v>0</v>
          </cell>
        </row>
        <row r="109">
          <cell r="E109" t="str">
            <v>Sycamore Heights/6/7</v>
          </cell>
          <cell r="G109">
            <v>337</v>
          </cell>
          <cell r="H109">
            <v>100000</v>
          </cell>
          <cell r="I109">
            <v>100000</v>
          </cell>
          <cell r="J109">
            <v>4982250</v>
          </cell>
          <cell r="K109">
            <v>0</v>
          </cell>
        </row>
        <row r="110">
          <cell r="E110" t="str">
            <v>Sycamore Heights/7/2</v>
          </cell>
          <cell r="G110">
            <v>304</v>
          </cell>
          <cell r="H110">
            <v>100000</v>
          </cell>
          <cell r="I110">
            <v>100000</v>
          </cell>
          <cell r="J110">
            <v>4441490</v>
          </cell>
          <cell r="K110">
            <v>0</v>
          </cell>
        </row>
        <row r="111">
          <cell r="E111" t="str">
            <v>Sycamore Heights/7/3</v>
          </cell>
          <cell r="G111">
            <v>311</v>
          </cell>
          <cell r="H111">
            <v>100000</v>
          </cell>
          <cell r="I111">
            <v>100000</v>
          </cell>
          <cell r="J111">
            <v>4543770</v>
          </cell>
          <cell r="K111">
            <v>0</v>
          </cell>
        </row>
        <row r="112">
          <cell r="E112" t="str">
            <v>Sycamore Heights/7/5</v>
          </cell>
          <cell r="G112">
            <v>318</v>
          </cell>
          <cell r="H112">
            <v>100000</v>
          </cell>
          <cell r="I112">
            <v>100000</v>
          </cell>
          <cell r="J112">
            <v>4646040</v>
          </cell>
          <cell r="K112">
            <v>0</v>
          </cell>
        </row>
        <row r="113">
          <cell r="E113" t="str">
            <v>Sycamore Heights/7/6</v>
          </cell>
          <cell r="G113">
            <v>457</v>
          </cell>
          <cell r="H113">
            <v>100000</v>
          </cell>
          <cell r="I113">
            <v>100000</v>
          </cell>
          <cell r="J113">
            <v>6998970</v>
          </cell>
          <cell r="K113">
            <v>0</v>
          </cell>
        </row>
        <row r="114">
          <cell r="E114" t="str">
            <v>Sycamore Heights/8/1</v>
          </cell>
          <cell r="G114">
            <v>465</v>
          </cell>
          <cell r="H114">
            <v>100000</v>
          </cell>
          <cell r="I114">
            <v>100000</v>
          </cell>
          <cell r="J114">
            <v>8033850</v>
          </cell>
          <cell r="K114">
            <v>0</v>
          </cell>
        </row>
        <row r="115">
          <cell r="E115" t="str">
            <v>Sycamore Heights/10/2</v>
          </cell>
          <cell r="G115">
            <v>331</v>
          </cell>
          <cell r="H115">
            <v>100000</v>
          </cell>
          <cell r="I115">
            <v>100000</v>
          </cell>
          <cell r="J115">
            <v>4893550</v>
          </cell>
          <cell r="K115">
            <v>0</v>
          </cell>
        </row>
        <row r="116">
          <cell r="E116" t="str">
            <v>Sycamore Heights/10/3</v>
          </cell>
          <cell r="G116">
            <v>631</v>
          </cell>
          <cell r="H116">
            <v>100000</v>
          </cell>
          <cell r="I116">
            <v>100000</v>
          </cell>
          <cell r="J116">
            <v>10609190</v>
          </cell>
          <cell r="K116">
            <v>0</v>
          </cell>
        </row>
        <row r="117">
          <cell r="E117" t="str">
            <v>Sycamore Heights/11/7</v>
          </cell>
          <cell r="G117">
            <v>363</v>
          </cell>
          <cell r="H117">
            <v>100000</v>
          </cell>
          <cell r="I117">
            <v>100000</v>
          </cell>
          <cell r="J117">
            <v>7640700</v>
          </cell>
          <cell r="K117">
            <v>0</v>
          </cell>
        </row>
        <row r="118">
          <cell r="E118" t="str">
            <v>Sycamore Heights/11/10</v>
          </cell>
          <cell r="G118">
            <v>413</v>
          </cell>
          <cell r="H118">
            <v>100000</v>
          </cell>
          <cell r="I118">
            <v>100000</v>
          </cell>
          <cell r="J118">
            <v>5986110</v>
          </cell>
          <cell r="K118">
            <v>0</v>
          </cell>
        </row>
        <row r="119">
          <cell r="E119" t="str">
            <v>Sycamore Heights/11/12</v>
          </cell>
          <cell r="G119">
            <v>415</v>
          </cell>
          <cell r="H119">
            <v>100000</v>
          </cell>
          <cell r="I119">
            <v>100000</v>
          </cell>
          <cell r="J119">
            <v>6637350</v>
          </cell>
          <cell r="K119">
            <v>0</v>
          </cell>
        </row>
        <row r="120">
          <cell r="E120" t="str">
            <v>Sycamore Heights/16/3</v>
          </cell>
          <cell r="G120">
            <v>250</v>
          </cell>
          <cell r="H120">
            <v>100000</v>
          </cell>
          <cell r="I120">
            <v>100000</v>
          </cell>
          <cell r="J120">
            <v>3623550</v>
          </cell>
          <cell r="K120">
            <v>0</v>
          </cell>
        </row>
        <row r="121">
          <cell r="E121" t="str">
            <v>Sycamore Heights/16/5</v>
          </cell>
          <cell r="G121">
            <v>250</v>
          </cell>
          <cell r="H121">
            <v>100000</v>
          </cell>
          <cell r="I121">
            <v>100000</v>
          </cell>
          <cell r="J121">
            <v>3623550</v>
          </cell>
          <cell r="K121">
            <v>0</v>
          </cell>
        </row>
        <row r="122">
          <cell r="E122" t="str">
            <v>Sycamore Heights/16/6</v>
          </cell>
          <cell r="G122">
            <v>250</v>
          </cell>
          <cell r="H122">
            <v>100000</v>
          </cell>
          <cell r="I122">
            <v>100000</v>
          </cell>
          <cell r="J122">
            <v>3623550</v>
          </cell>
          <cell r="K122">
            <v>0</v>
          </cell>
        </row>
        <row r="123">
          <cell r="E123" t="str">
            <v>Sycamore Heights/16/8</v>
          </cell>
          <cell r="G123">
            <v>278</v>
          </cell>
          <cell r="H123">
            <v>100000</v>
          </cell>
          <cell r="I123">
            <v>100000</v>
          </cell>
          <cell r="J123">
            <v>4255050</v>
          </cell>
          <cell r="K123">
            <v>0</v>
          </cell>
        </row>
        <row r="124">
          <cell r="E124" t="str">
            <v>Sycamore Heights/16/9</v>
          </cell>
          <cell r="G124">
            <v>393</v>
          </cell>
          <cell r="H124">
            <v>100000</v>
          </cell>
          <cell r="I124">
            <v>100000</v>
          </cell>
          <cell r="J124">
            <v>6038010</v>
          </cell>
          <cell r="K124">
            <v>0</v>
          </cell>
        </row>
        <row r="125">
          <cell r="E125" t="str">
            <v>Sycamore Heights/16/10</v>
          </cell>
          <cell r="G125">
            <v>300</v>
          </cell>
          <cell r="H125">
            <v>100000</v>
          </cell>
          <cell r="I125">
            <v>100000</v>
          </cell>
          <cell r="J125">
            <v>4435230</v>
          </cell>
          <cell r="K125">
            <v>0</v>
          </cell>
        </row>
        <row r="126">
          <cell r="E126" t="str">
            <v>Sycamore Heights/16/11</v>
          </cell>
          <cell r="G126">
            <v>300</v>
          </cell>
          <cell r="H126">
            <v>100000</v>
          </cell>
          <cell r="I126">
            <v>100000</v>
          </cell>
          <cell r="J126">
            <v>4435230</v>
          </cell>
          <cell r="K126">
            <v>0</v>
          </cell>
        </row>
        <row r="127">
          <cell r="E127" t="str">
            <v>Sycamore Heights/16/12</v>
          </cell>
          <cell r="G127">
            <v>300</v>
          </cell>
          <cell r="H127">
            <v>100000</v>
          </cell>
          <cell r="I127">
            <v>100000</v>
          </cell>
          <cell r="J127">
            <v>4435230</v>
          </cell>
          <cell r="K127">
            <v>0</v>
          </cell>
        </row>
        <row r="128">
          <cell r="E128" t="str">
            <v>Sycamore Heights/17/1</v>
          </cell>
          <cell r="G128">
            <v>334</v>
          </cell>
          <cell r="H128">
            <v>100000</v>
          </cell>
          <cell r="I128">
            <v>100000</v>
          </cell>
          <cell r="J128">
            <v>5112170</v>
          </cell>
          <cell r="K128">
            <v>0</v>
          </cell>
        </row>
        <row r="129">
          <cell r="E129" t="str">
            <v>Sycamore Heights/17/3</v>
          </cell>
          <cell r="G129">
            <v>250</v>
          </cell>
          <cell r="H129">
            <v>100000</v>
          </cell>
          <cell r="I129">
            <v>100000</v>
          </cell>
          <cell r="J129">
            <v>3696030</v>
          </cell>
          <cell r="K129">
            <v>0</v>
          </cell>
        </row>
        <row r="130">
          <cell r="E130" t="str">
            <v>Sycamore Heights/17/5</v>
          </cell>
          <cell r="G130">
            <v>250</v>
          </cell>
          <cell r="H130">
            <v>100000</v>
          </cell>
          <cell r="I130">
            <v>100000</v>
          </cell>
          <cell r="J130">
            <v>3696030</v>
          </cell>
          <cell r="K130">
            <v>0</v>
          </cell>
        </row>
        <row r="131">
          <cell r="E131" t="str">
            <v>Sycamore Heights/17/6</v>
          </cell>
          <cell r="G131">
            <v>250</v>
          </cell>
          <cell r="H131">
            <v>100000</v>
          </cell>
          <cell r="I131">
            <v>100000</v>
          </cell>
          <cell r="J131">
            <v>3696030</v>
          </cell>
          <cell r="K131">
            <v>0</v>
          </cell>
        </row>
        <row r="132">
          <cell r="E132" t="str">
            <v>Sycamore Heights/17/7</v>
          </cell>
          <cell r="G132">
            <v>250</v>
          </cell>
          <cell r="H132">
            <v>100000</v>
          </cell>
          <cell r="I132">
            <v>100000</v>
          </cell>
          <cell r="J132">
            <v>3696030</v>
          </cell>
          <cell r="K132">
            <v>0</v>
          </cell>
        </row>
        <row r="133">
          <cell r="E133" t="str">
            <v>Sycamore Heights/17/8</v>
          </cell>
          <cell r="G133">
            <v>250</v>
          </cell>
          <cell r="H133">
            <v>100000</v>
          </cell>
          <cell r="I133">
            <v>100000</v>
          </cell>
          <cell r="J133">
            <v>3696030</v>
          </cell>
          <cell r="K133">
            <v>0</v>
          </cell>
        </row>
        <row r="134">
          <cell r="E134" t="str">
            <v>Sycamore Heights/17/10</v>
          </cell>
          <cell r="G134">
            <v>355</v>
          </cell>
          <cell r="H134">
            <v>100000</v>
          </cell>
          <cell r="I134">
            <v>100000</v>
          </cell>
          <cell r="J134">
            <v>5454170</v>
          </cell>
          <cell r="K134">
            <v>0</v>
          </cell>
        </row>
        <row r="135">
          <cell r="E135" t="str">
            <v>Sycamore Heights/17/11</v>
          </cell>
          <cell r="G135">
            <v>392</v>
          </cell>
          <cell r="H135">
            <v>100000</v>
          </cell>
          <cell r="I135">
            <v>100000</v>
          </cell>
          <cell r="J135">
            <v>6022640</v>
          </cell>
          <cell r="K135">
            <v>0</v>
          </cell>
        </row>
        <row r="136">
          <cell r="E136" t="str">
            <v>Sycamore Heights/17/20</v>
          </cell>
          <cell r="G136">
            <v>410</v>
          </cell>
          <cell r="H136">
            <v>100000</v>
          </cell>
          <cell r="I136">
            <v>100000</v>
          </cell>
          <cell r="J136">
            <v>6275420</v>
          </cell>
          <cell r="K136">
            <v>0</v>
          </cell>
        </row>
        <row r="137">
          <cell r="E137" t="str">
            <v>Sycamore Heights/18/5</v>
          </cell>
          <cell r="G137">
            <v>362</v>
          </cell>
          <cell r="H137">
            <v>100000</v>
          </cell>
          <cell r="I137">
            <v>100000</v>
          </cell>
          <cell r="J137">
            <v>5540740</v>
          </cell>
          <cell r="K137">
            <v>0</v>
          </cell>
        </row>
        <row r="138">
          <cell r="E138" t="str">
            <v>Sycamore Heights/18/6</v>
          </cell>
          <cell r="G138">
            <v>342</v>
          </cell>
          <cell r="H138">
            <v>100000</v>
          </cell>
          <cell r="I138">
            <v>100000</v>
          </cell>
          <cell r="J138">
            <v>5056170</v>
          </cell>
          <cell r="K138">
            <v>0</v>
          </cell>
        </row>
        <row r="139">
          <cell r="E139" t="str">
            <v>Sycamore Heights/18/7</v>
          </cell>
          <cell r="G139">
            <v>320</v>
          </cell>
          <cell r="H139">
            <v>100000</v>
          </cell>
          <cell r="I139">
            <v>100000</v>
          </cell>
          <cell r="J139">
            <v>4730910</v>
          </cell>
          <cell r="K139">
            <v>0</v>
          </cell>
        </row>
        <row r="140">
          <cell r="E140" t="str">
            <v>Sycamore Heights/18/8</v>
          </cell>
          <cell r="G140">
            <v>320</v>
          </cell>
          <cell r="H140">
            <v>100000</v>
          </cell>
          <cell r="I140">
            <v>100000</v>
          </cell>
          <cell r="J140">
            <v>4730910</v>
          </cell>
          <cell r="K140">
            <v>0</v>
          </cell>
        </row>
        <row r="141">
          <cell r="E141" t="str">
            <v>Sycamore Heights/18/9</v>
          </cell>
          <cell r="G141">
            <v>320</v>
          </cell>
          <cell r="H141">
            <v>100000</v>
          </cell>
          <cell r="I141">
            <v>100000</v>
          </cell>
          <cell r="J141">
            <v>4730910</v>
          </cell>
          <cell r="K141">
            <v>0</v>
          </cell>
        </row>
        <row r="142">
          <cell r="E142" t="str">
            <v>Sycamore Heights/18/17</v>
          </cell>
          <cell r="G142">
            <v>306</v>
          </cell>
          <cell r="H142">
            <v>100000</v>
          </cell>
          <cell r="I142">
            <v>100000</v>
          </cell>
          <cell r="J142">
            <v>4752030</v>
          </cell>
          <cell r="K142">
            <v>0</v>
          </cell>
        </row>
        <row r="143">
          <cell r="E143" t="str">
            <v>Sycamore Heights/20/7</v>
          </cell>
          <cell r="G143">
            <v>300</v>
          </cell>
          <cell r="H143">
            <v>100000</v>
          </cell>
          <cell r="I143">
            <v>100000</v>
          </cell>
          <cell r="J143">
            <v>4348260</v>
          </cell>
          <cell r="K143">
            <v>0</v>
          </cell>
        </row>
        <row r="144">
          <cell r="E144" t="str">
            <v>Sycamore Heights/20/8</v>
          </cell>
          <cell r="G144">
            <v>300</v>
          </cell>
          <cell r="H144">
            <v>100000</v>
          </cell>
          <cell r="I144">
            <v>100000</v>
          </cell>
          <cell r="J144">
            <v>4348260</v>
          </cell>
          <cell r="K144">
            <v>0</v>
          </cell>
        </row>
        <row r="145">
          <cell r="E145" t="str">
            <v>Sycamore Heights/20/9</v>
          </cell>
          <cell r="G145">
            <v>300</v>
          </cell>
          <cell r="H145">
            <v>100000</v>
          </cell>
          <cell r="I145">
            <v>100000</v>
          </cell>
          <cell r="J145">
            <v>4814150</v>
          </cell>
          <cell r="K145">
            <v>0</v>
          </cell>
        </row>
        <row r="146">
          <cell r="E146" t="str">
            <v>Sycamore Heights/20/10</v>
          </cell>
          <cell r="G146">
            <v>300</v>
          </cell>
          <cell r="H146">
            <v>100000</v>
          </cell>
          <cell r="I146">
            <v>100000</v>
          </cell>
          <cell r="J146">
            <v>4814150</v>
          </cell>
          <cell r="K146">
            <v>0</v>
          </cell>
        </row>
        <row r="147">
          <cell r="E147" t="str">
            <v>Sycamore Heights/20/11</v>
          </cell>
          <cell r="G147">
            <v>300</v>
          </cell>
          <cell r="H147">
            <v>100000</v>
          </cell>
          <cell r="I147">
            <v>100000</v>
          </cell>
          <cell r="J147">
            <v>4814150</v>
          </cell>
          <cell r="K147">
            <v>0</v>
          </cell>
        </row>
        <row r="148">
          <cell r="E148" t="str">
            <v>Sycamore Heights/20/12</v>
          </cell>
          <cell r="G148">
            <v>300</v>
          </cell>
          <cell r="H148">
            <v>100000</v>
          </cell>
          <cell r="I148">
            <v>100000</v>
          </cell>
          <cell r="J148">
            <v>4814150</v>
          </cell>
          <cell r="K148">
            <v>0</v>
          </cell>
        </row>
        <row r="149">
          <cell r="E149" t="str">
            <v>Sycamore Heights/20/15</v>
          </cell>
          <cell r="G149">
            <v>300</v>
          </cell>
          <cell r="H149">
            <v>100000</v>
          </cell>
          <cell r="I149">
            <v>100000</v>
          </cell>
          <cell r="J149">
            <v>4814150</v>
          </cell>
          <cell r="K149">
            <v>0</v>
          </cell>
        </row>
        <row r="150">
          <cell r="E150" t="str">
            <v>Sycamore Heights/20/16</v>
          </cell>
          <cell r="G150">
            <v>300</v>
          </cell>
          <cell r="H150">
            <v>100000</v>
          </cell>
          <cell r="I150">
            <v>100000</v>
          </cell>
          <cell r="J150">
            <v>4814150</v>
          </cell>
          <cell r="K150">
            <v>0</v>
          </cell>
        </row>
        <row r="151">
          <cell r="E151" t="str">
            <v>Sycamore Heights/23/3</v>
          </cell>
          <cell r="G151">
            <v>478</v>
          </cell>
          <cell r="H151">
            <v>100000</v>
          </cell>
          <cell r="I151">
            <v>100000</v>
          </cell>
          <cell r="J151">
            <v>10061310</v>
          </cell>
          <cell r="K151">
            <v>0</v>
          </cell>
        </row>
        <row r="152">
          <cell r="E152" t="str">
            <v>Sycamore Heights/25/15</v>
          </cell>
          <cell r="G152">
            <v>350</v>
          </cell>
          <cell r="H152">
            <v>100000</v>
          </cell>
          <cell r="I152">
            <v>100000</v>
          </cell>
          <cell r="J152">
            <v>5017320</v>
          </cell>
          <cell r="K152">
            <v>0</v>
          </cell>
        </row>
        <row r="153">
          <cell r="E153" t="str">
            <v>Sycamore Heights/25/16</v>
          </cell>
          <cell r="G153">
            <v>349</v>
          </cell>
          <cell r="H153">
            <v>100000</v>
          </cell>
          <cell r="I153">
            <v>100000</v>
          </cell>
          <cell r="J153">
            <v>5001670</v>
          </cell>
          <cell r="K153">
            <v>0</v>
          </cell>
        </row>
        <row r="154">
          <cell r="E154" t="str">
            <v>Sycamore Heights/25/17</v>
          </cell>
          <cell r="G154">
            <v>349</v>
          </cell>
          <cell r="H154">
            <v>100000</v>
          </cell>
          <cell r="I154">
            <v>100000</v>
          </cell>
          <cell r="J154">
            <v>5000500</v>
          </cell>
          <cell r="K154">
            <v>0</v>
          </cell>
        </row>
        <row r="155">
          <cell r="E155" t="str">
            <v>Sycamore Heights/25/18</v>
          </cell>
          <cell r="G155">
            <v>349</v>
          </cell>
          <cell r="H155">
            <v>100000</v>
          </cell>
          <cell r="I155">
            <v>100000</v>
          </cell>
          <cell r="J155">
            <v>5000500</v>
          </cell>
          <cell r="K155">
            <v>0</v>
          </cell>
        </row>
        <row r="156">
          <cell r="E156" t="str">
            <v>Sycamore Heights/25/19</v>
          </cell>
          <cell r="G156">
            <v>348</v>
          </cell>
          <cell r="H156">
            <v>100000</v>
          </cell>
          <cell r="I156">
            <v>100000</v>
          </cell>
          <cell r="J156">
            <v>4991810</v>
          </cell>
          <cell r="K156">
            <v>0</v>
          </cell>
        </row>
        <row r="157">
          <cell r="E157" t="str">
            <v>Sycamore Heights/25/20</v>
          </cell>
          <cell r="G157">
            <v>347</v>
          </cell>
          <cell r="H157">
            <v>100000</v>
          </cell>
          <cell r="I157">
            <v>100000</v>
          </cell>
          <cell r="J157">
            <v>4977470</v>
          </cell>
          <cell r="K157">
            <v>0</v>
          </cell>
        </row>
        <row r="158">
          <cell r="E158" t="str">
            <v>Sycamore Heights/26/1</v>
          </cell>
          <cell r="G158">
            <v>426</v>
          </cell>
          <cell r="H158">
            <v>100000</v>
          </cell>
          <cell r="I158">
            <v>100000</v>
          </cell>
          <cell r="J158">
            <v>6927400</v>
          </cell>
          <cell r="K158">
            <v>0</v>
          </cell>
        </row>
        <row r="159">
          <cell r="E159" t="str">
            <v>Sycamore Heights/26/5</v>
          </cell>
          <cell r="G159">
            <v>398</v>
          </cell>
          <cell r="H159">
            <v>100000</v>
          </cell>
          <cell r="I159">
            <v>100000</v>
          </cell>
          <cell r="J159">
            <v>8377410</v>
          </cell>
          <cell r="K159">
            <v>0</v>
          </cell>
        </row>
        <row r="160">
          <cell r="E160" t="str">
            <v>Sycamore Heights/26/6</v>
          </cell>
          <cell r="G160">
            <v>399</v>
          </cell>
          <cell r="H160">
            <v>100000</v>
          </cell>
          <cell r="I160">
            <v>100000</v>
          </cell>
          <cell r="J160">
            <v>8398460</v>
          </cell>
          <cell r="K160">
            <v>0</v>
          </cell>
        </row>
        <row r="161">
          <cell r="E161" t="str">
            <v>Sycamore Heights/26/7</v>
          </cell>
          <cell r="G161">
            <v>399</v>
          </cell>
          <cell r="H161">
            <v>100000</v>
          </cell>
          <cell r="I161">
            <v>100000</v>
          </cell>
          <cell r="J161">
            <v>8398460</v>
          </cell>
          <cell r="K161">
            <v>0</v>
          </cell>
        </row>
        <row r="162">
          <cell r="E162" t="str">
            <v>Sycamore Heights/26/11</v>
          </cell>
          <cell r="G162">
            <v>364</v>
          </cell>
          <cell r="H162">
            <v>100000</v>
          </cell>
          <cell r="I162">
            <v>100000</v>
          </cell>
          <cell r="J162">
            <v>5034710</v>
          </cell>
          <cell r="K162">
            <v>0</v>
          </cell>
        </row>
        <row r="163">
          <cell r="E163" t="str">
            <v>Sycamore Heights/27/3</v>
          </cell>
          <cell r="G163">
            <v>511</v>
          </cell>
          <cell r="H163">
            <v>100000</v>
          </cell>
          <cell r="I163">
            <v>100000</v>
          </cell>
          <cell r="J163">
            <v>8480860</v>
          </cell>
          <cell r="K163">
            <v>0</v>
          </cell>
        </row>
        <row r="164">
          <cell r="E164" t="str">
            <v>Sycamore Heights/27/5</v>
          </cell>
          <cell r="G164">
            <v>506</v>
          </cell>
          <cell r="H164">
            <v>100000</v>
          </cell>
          <cell r="I164">
            <v>100000</v>
          </cell>
          <cell r="J164">
            <v>8393890</v>
          </cell>
          <cell r="K164">
            <v>0</v>
          </cell>
        </row>
        <row r="165">
          <cell r="E165" t="str">
            <v>Sycamore Heights/29/19</v>
          </cell>
          <cell r="G165">
            <v>584</v>
          </cell>
          <cell r="H165">
            <v>100000</v>
          </cell>
          <cell r="I165">
            <v>100000</v>
          </cell>
          <cell r="J165">
            <v>9592850</v>
          </cell>
          <cell r="K165">
            <v>0</v>
          </cell>
        </row>
        <row r="166">
          <cell r="E166" t="str">
            <v>Sycamore Heights/29/20</v>
          </cell>
          <cell r="G166">
            <v>519</v>
          </cell>
          <cell r="H166">
            <v>100000</v>
          </cell>
          <cell r="I166">
            <v>100000</v>
          </cell>
          <cell r="J166">
            <v>8538340</v>
          </cell>
          <cell r="K166">
            <v>0</v>
          </cell>
        </row>
        <row r="167">
          <cell r="E167" t="str">
            <v>Sycamore Heights/29/21</v>
          </cell>
          <cell r="G167">
            <v>531</v>
          </cell>
          <cell r="H167">
            <v>100000</v>
          </cell>
          <cell r="I167">
            <v>100000</v>
          </cell>
          <cell r="J167">
            <v>8745000</v>
          </cell>
          <cell r="K167">
            <v>0</v>
          </cell>
        </row>
        <row r="168">
          <cell r="E168" t="str">
            <v>Sycamore Heights/29/23</v>
          </cell>
          <cell r="G168">
            <v>428</v>
          </cell>
          <cell r="H168">
            <v>100000</v>
          </cell>
          <cell r="I168">
            <v>100000</v>
          </cell>
          <cell r="J168">
            <v>6975770</v>
          </cell>
          <cell r="K168">
            <v>0</v>
          </cell>
        </row>
        <row r="169">
          <cell r="E169" t="str">
            <v>Sycamore Heights/29/28</v>
          </cell>
          <cell r="G169">
            <v>318</v>
          </cell>
          <cell r="H169">
            <v>100000</v>
          </cell>
          <cell r="I169">
            <v>100000</v>
          </cell>
          <cell r="J169">
            <v>5147190</v>
          </cell>
          <cell r="K169">
            <v>0</v>
          </cell>
        </row>
        <row r="170">
          <cell r="E170" t="str">
            <v>Sycamore Heights/29/29</v>
          </cell>
          <cell r="G170">
            <v>328</v>
          </cell>
          <cell r="H170">
            <v>100000</v>
          </cell>
          <cell r="I170">
            <v>100000</v>
          </cell>
          <cell r="J170">
            <v>5321120</v>
          </cell>
          <cell r="K170">
            <v>0</v>
          </cell>
        </row>
        <row r="171">
          <cell r="E171" t="str">
            <v>Sycamore Heights/29/30</v>
          </cell>
          <cell r="G171">
            <v>456</v>
          </cell>
          <cell r="H171">
            <v>100000</v>
          </cell>
          <cell r="I171">
            <v>100000</v>
          </cell>
          <cell r="J171">
            <v>7547430</v>
          </cell>
          <cell r="K171">
            <v>0</v>
          </cell>
        </row>
        <row r="172">
          <cell r="E172" t="str">
            <v>Sycamore Heights/29/32</v>
          </cell>
          <cell r="G172">
            <v>415</v>
          </cell>
          <cell r="H172">
            <v>100000</v>
          </cell>
          <cell r="I172">
            <v>100000</v>
          </cell>
          <cell r="J172">
            <v>6834310</v>
          </cell>
          <cell r="K172">
            <v>0</v>
          </cell>
        </row>
        <row r="173">
          <cell r="E173" t="str">
            <v>Sycamore Heights/29/33</v>
          </cell>
          <cell r="G173">
            <v>350</v>
          </cell>
          <cell r="H173">
            <v>100000</v>
          </cell>
          <cell r="I173">
            <v>100000</v>
          </cell>
          <cell r="J173">
            <v>5703760</v>
          </cell>
          <cell r="K173">
            <v>0</v>
          </cell>
        </row>
        <row r="174">
          <cell r="E174" t="str">
            <v>Sycamore Heights/29/35</v>
          </cell>
          <cell r="G174">
            <v>344</v>
          </cell>
          <cell r="H174">
            <v>100000</v>
          </cell>
          <cell r="I174">
            <v>100000</v>
          </cell>
          <cell r="J174">
            <v>5606000</v>
          </cell>
          <cell r="K174">
            <v>0</v>
          </cell>
        </row>
        <row r="175">
          <cell r="E175" t="str">
            <v>Sycamore Heights/29/36</v>
          </cell>
          <cell r="G175">
            <v>343</v>
          </cell>
          <cell r="H175">
            <v>100000</v>
          </cell>
          <cell r="I175">
            <v>100000</v>
          </cell>
          <cell r="J175">
            <v>5442150</v>
          </cell>
          <cell r="K175">
            <v>0</v>
          </cell>
        </row>
        <row r="176">
          <cell r="E176" t="str">
            <v>Sycamore Heights/29/37</v>
          </cell>
          <cell r="G176">
            <v>300</v>
          </cell>
          <cell r="H176">
            <v>100000</v>
          </cell>
          <cell r="I176">
            <v>100000</v>
          </cell>
          <cell r="J176">
            <v>4759900</v>
          </cell>
          <cell r="K176">
            <v>0</v>
          </cell>
        </row>
        <row r="177">
          <cell r="E177" t="str">
            <v>Sycamore Heights/29/38</v>
          </cell>
          <cell r="G177">
            <v>300</v>
          </cell>
          <cell r="H177">
            <v>100000</v>
          </cell>
          <cell r="I177">
            <v>100000</v>
          </cell>
          <cell r="J177">
            <v>4705410</v>
          </cell>
          <cell r="K177">
            <v>0</v>
          </cell>
        </row>
        <row r="178">
          <cell r="E178" t="str">
            <v>Sycamore Heights/29/39</v>
          </cell>
          <cell r="G178">
            <v>300</v>
          </cell>
          <cell r="H178">
            <v>100000</v>
          </cell>
          <cell r="I178">
            <v>100000</v>
          </cell>
          <cell r="J178">
            <v>4835270</v>
          </cell>
          <cell r="K178">
            <v>0</v>
          </cell>
        </row>
        <row r="179">
          <cell r="E179" t="str">
            <v>Sycamore Heights/29/41</v>
          </cell>
          <cell r="G179">
            <v>352</v>
          </cell>
          <cell r="H179">
            <v>100000</v>
          </cell>
          <cell r="I179">
            <v>100000</v>
          </cell>
          <cell r="J179">
            <v>5943790</v>
          </cell>
          <cell r="K179">
            <v>0</v>
          </cell>
        </row>
        <row r="180">
          <cell r="E180" t="str">
            <v>Sycamore Heights/32/1</v>
          </cell>
          <cell r="G180">
            <v>376</v>
          </cell>
          <cell r="H180">
            <v>100000</v>
          </cell>
          <cell r="I180">
            <v>100000</v>
          </cell>
          <cell r="J180">
            <v>6677130</v>
          </cell>
          <cell r="K180">
            <v>0</v>
          </cell>
        </row>
        <row r="181">
          <cell r="E181" t="str">
            <v>Sycamore Heights/32/2</v>
          </cell>
          <cell r="G181">
            <v>348</v>
          </cell>
          <cell r="H181">
            <v>100000</v>
          </cell>
          <cell r="I181">
            <v>100000</v>
          </cell>
          <cell r="J181">
            <v>5649260</v>
          </cell>
          <cell r="K181">
            <v>0</v>
          </cell>
        </row>
        <row r="182">
          <cell r="E182" t="str">
            <v>Sycamore Heights/32/3</v>
          </cell>
          <cell r="G182">
            <v>340</v>
          </cell>
          <cell r="H182">
            <v>100000</v>
          </cell>
          <cell r="I182">
            <v>100000</v>
          </cell>
          <cell r="J182">
            <v>5519400</v>
          </cell>
          <cell r="K182">
            <v>0</v>
          </cell>
        </row>
        <row r="183">
          <cell r="E183" t="str">
            <v>Sycamore Heights/32/5</v>
          </cell>
          <cell r="G183">
            <v>340</v>
          </cell>
          <cell r="H183">
            <v>100000</v>
          </cell>
          <cell r="I183">
            <v>100000</v>
          </cell>
          <cell r="J183">
            <v>5519400</v>
          </cell>
          <cell r="K183">
            <v>0</v>
          </cell>
        </row>
        <row r="184">
          <cell r="E184" t="str">
            <v>Sycamore Heights/32/6</v>
          </cell>
          <cell r="G184">
            <v>340</v>
          </cell>
          <cell r="H184">
            <v>100000</v>
          </cell>
          <cell r="I184">
            <v>100000</v>
          </cell>
          <cell r="J184">
            <v>5716520</v>
          </cell>
          <cell r="K184">
            <v>0</v>
          </cell>
        </row>
        <row r="185">
          <cell r="E185" t="str">
            <v>Sycamore Heights/48/1</v>
          </cell>
          <cell r="G185">
            <v>387</v>
          </cell>
          <cell r="H185">
            <v>100000</v>
          </cell>
          <cell r="I185">
            <v>100000</v>
          </cell>
          <cell r="J185">
            <v>6410580</v>
          </cell>
          <cell r="K185">
            <v>0</v>
          </cell>
        </row>
        <row r="186">
          <cell r="E186" t="str">
            <v>Sycamore Heights/48/2</v>
          </cell>
          <cell r="G186">
            <v>300</v>
          </cell>
          <cell r="H186">
            <v>100000</v>
          </cell>
          <cell r="I186">
            <v>100000</v>
          </cell>
          <cell r="J186">
            <v>4435230</v>
          </cell>
          <cell r="K186">
            <v>0</v>
          </cell>
        </row>
        <row r="187">
          <cell r="E187" t="str">
            <v>Sycamore Heights/48/3</v>
          </cell>
          <cell r="G187">
            <v>300</v>
          </cell>
          <cell r="H187">
            <v>100000</v>
          </cell>
          <cell r="I187">
            <v>100000</v>
          </cell>
          <cell r="J187">
            <v>4435230</v>
          </cell>
          <cell r="K187">
            <v>0</v>
          </cell>
        </row>
        <row r="188">
          <cell r="E188" t="str">
            <v>Sycamore Heights/48/5</v>
          </cell>
          <cell r="G188">
            <v>300</v>
          </cell>
          <cell r="H188">
            <v>100000</v>
          </cell>
          <cell r="I188">
            <v>100000</v>
          </cell>
          <cell r="J188">
            <v>4435230</v>
          </cell>
          <cell r="K188">
            <v>0</v>
          </cell>
        </row>
        <row r="189">
          <cell r="E189" t="str">
            <v>Sycamore Heights/48/6</v>
          </cell>
          <cell r="G189">
            <v>300</v>
          </cell>
          <cell r="H189">
            <v>100000</v>
          </cell>
          <cell r="I189">
            <v>100000</v>
          </cell>
          <cell r="J189">
            <v>4435230</v>
          </cell>
          <cell r="K189">
            <v>0</v>
          </cell>
        </row>
        <row r="190">
          <cell r="E190" t="str">
            <v>Sycamore Heights/48/8</v>
          </cell>
          <cell r="G190">
            <v>300</v>
          </cell>
          <cell r="H190">
            <v>100000</v>
          </cell>
          <cell r="I190">
            <v>100000</v>
          </cell>
          <cell r="J190">
            <v>4435230</v>
          </cell>
          <cell r="K190">
            <v>0</v>
          </cell>
        </row>
        <row r="191">
          <cell r="E191" t="str">
            <v>Sycamore Heights/48/12</v>
          </cell>
          <cell r="G191">
            <v>300</v>
          </cell>
          <cell r="H191">
            <v>100000</v>
          </cell>
          <cell r="I191">
            <v>100000</v>
          </cell>
          <cell r="J191">
            <v>4348260</v>
          </cell>
          <cell r="K191">
            <v>0</v>
          </cell>
        </row>
        <row r="192">
          <cell r="E192" t="str">
            <v>Sycamore Heights/48/15</v>
          </cell>
          <cell r="G192">
            <v>300</v>
          </cell>
          <cell r="H192">
            <v>100000</v>
          </cell>
          <cell r="I192">
            <v>100000</v>
          </cell>
          <cell r="J192">
            <v>4348260</v>
          </cell>
          <cell r="K192">
            <v>0</v>
          </cell>
        </row>
        <row r="193">
          <cell r="E193" t="str">
            <v>Sycamore Heights/48/16</v>
          </cell>
          <cell r="G193">
            <v>300</v>
          </cell>
          <cell r="H193">
            <v>100000</v>
          </cell>
          <cell r="I193">
            <v>100000</v>
          </cell>
          <cell r="J193">
            <v>4348260</v>
          </cell>
          <cell r="K193">
            <v>0</v>
          </cell>
        </row>
        <row r="194">
          <cell r="E194" t="str">
            <v>Sycamore Heights/48/17</v>
          </cell>
          <cell r="G194">
            <v>300</v>
          </cell>
          <cell r="H194">
            <v>100000</v>
          </cell>
          <cell r="I194">
            <v>100000</v>
          </cell>
          <cell r="J194">
            <v>4348260</v>
          </cell>
          <cell r="K194">
            <v>0</v>
          </cell>
        </row>
        <row r="195">
          <cell r="E195" t="str">
            <v>Sycamore Heights/48/18</v>
          </cell>
          <cell r="G195">
            <v>300</v>
          </cell>
          <cell r="H195">
            <v>100000</v>
          </cell>
          <cell r="I195">
            <v>100000</v>
          </cell>
          <cell r="J195">
            <v>4348260</v>
          </cell>
          <cell r="K195">
            <v>0</v>
          </cell>
        </row>
        <row r="196">
          <cell r="E196" t="str">
            <v>Sycamore Heights/49/3</v>
          </cell>
          <cell r="G196">
            <v>383</v>
          </cell>
          <cell r="H196">
            <v>100000</v>
          </cell>
          <cell r="I196">
            <v>100000</v>
          </cell>
          <cell r="J196">
            <v>5947800</v>
          </cell>
          <cell r="K196">
            <v>0</v>
          </cell>
        </row>
        <row r="197">
          <cell r="E197" t="str">
            <v>Sycamore Heights/49/5</v>
          </cell>
          <cell r="G197">
            <v>436</v>
          </cell>
          <cell r="H197">
            <v>100000</v>
          </cell>
          <cell r="I197">
            <v>100000</v>
          </cell>
          <cell r="J197">
            <v>6770870</v>
          </cell>
          <cell r="K197">
            <v>0</v>
          </cell>
        </row>
        <row r="198">
          <cell r="E198" t="str">
            <v>Sycamore Heights/49/6</v>
          </cell>
          <cell r="G198">
            <v>342</v>
          </cell>
          <cell r="H198">
            <v>100000</v>
          </cell>
          <cell r="I198">
            <v>100000</v>
          </cell>
          <cell r="J198">
            <v>5488130</v>
          </cell>
          <cell r="K198">
            <v>0</v>
          </cell>
        </row>
        <row r="199">
          <cell r="E199" t="str">
            <v>Sycamore Heights/49/16</v>
          </cell>
          <cell r="G199">
            <v>300</v>
          </cell>
          <cell r="H199">
            <v>100000</v>
          </cell>
          <cell r="I199">
            <v>100000</v>
          </cell>
          <cell r="J199">
            <v>4348260</v>
          </cell>
          <cell r="K199">
            <v>0</v>
          </cell>
        </row>
        <row r="200">
          <cell r="E200" t="str">
            <v>Sycamore Heights/49/17</v>
          </cell>
          <cell r="G200">
            <v>300</v>
          </cell>
          <cell r="H200">
            <v>100000</v>
          </cell>
          <cell r="I200">
            <v>100000</v>
          </cell>
          <cell r="J200">
            <v>4348260</v>
          </cell>
          <cell r="K200">
            <v>0</v>
          </cell>
        </row>
        <row r="201">
          <cell r="E201" t="str">
            <v>Sycamore Heights/49/18</v>
          </cell>
          <cell r="G201">
            <v>300</v>
          </cell>
          <cell r="H201">
            <v>100000</v>
          </cell>
          <cell r="I201">
            <v>100000</v>
          </cell>
          <cell r="J201">
            <v>4348260</v>
          </cell>
          <cell r="K201">
            <v>0</v>
          </cell>
        </row>
        <row r="202">
          <cell r="E202" t="str">
            <v>Sycamore Heights/49/20</v>
          </cell>
          <cell r="G202">
            <v>320</v>
          </cell>
          <cell r="H202">
            <v>100000</v>
          </cell>
          <cell r="I202">
            <v>100000</v>
          </cell>
          <cell r="J202">
            <v>5135090</v>
          </cell>
          <cell r="K202">
            <v>0</v>
          </cell>
        </row>
        <row r="203">
          <cell r="E203" t="str">
            <v>Sycamore Heights/49/21</v>
          </cell>
          <cell r="G203">
            <v>315</v>
          </cell>
          <cell r="H203">
            <v>100000</v>
          </cell>
          <cell r="I203">
            <v>100000</v>
          </cell>
          <cell r="J203">
            <v>4565680</v>
          </cell>
          <cell r="K20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 /><Relationship Id="rId1" Type="http://schemas.openxmlformats.org/officeDocument/2006/relationships/printerSettings" Target="../printerSettings/printerSettings6.bin" /></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 /><Relationship Id="rId1" Type="http://schemas.openxmlformats.org/officeDocument/2006/relationships/printerSettings" Target="../printerSettings/printerSettings7.bin" /></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 /><Relationship Id="rId1" Type="http://schemas.openxmlformats.org/officeDocument/2006/relationships/printerSettings" Target="../printerSettings/printerSettings4.bin" /></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Q17"/>
  <sheetViews>
    <sheetView zoomScale="130" zoomScaleNormal="130" zoomScalePageLayoutView="130" workbookViewId="0">
      <selection activeCell="F12" sqref="F12"/>
    </sheetView>
  </sheetViews>
  <sheetFormatPr defaultColWidth="8.875" defaultRowHeight="15" x14ac:dyDescent="0.2"/>
  <cols>
    <col min="1" max="1" width="4.3046875" style="204" customWidth="1"/>
    <col min="2" max="2" width="18.6953125" style="204" customWidth="1"/>
    <col min="3" max="3" width="21.7890625" style="204" customWidth="1"/>
    <col min="4" max="4" width="8.875" style="204"/>
    <col min="5" max="5" width="24.75" style="204" customWidth="1"/>
    <col min="6" max="6" width="13.1796875" style="204" customWidth="1"/>
    <col min="7" max="7" width="14.2578125" style="206" customWidth="1"/>
    <col min="8" max="8" width="4.03515625" style="206" customWidth="1"/>
    <col min="9" max="9" width="20.4453125" style="207" customWidth="1"/>
    <col min="10" max="10" width="16.8125" style="207" customWidth="1"/>
    <col min="11" max="11" width="14.66015625" style="208" customWidth="1"/>
    <col min="12" max="12" width="17.484375" style="204" customWidth="1"/>
    <col min="13" max="13" width="3.09375" style="204" customWidth="1"/>
    <col min="14" max="14" width="9.14453125" style="204" customWidth="1"/>
    <col min="15" max="16" width="13.31640625" style="204" customWidth="1"/>
    <col min="17" max="17" width="10.35546875" style="204" bestFit="1" customWidth="1"/>
    <col min="18" max="246" width="8.875" style="204"/>
    <col min="247" max="247" width="4.16796875" style="204" customWidth="1"/>
    <col min="248" max="248" width="18.6953125" style="204" customWidth="1"/>
    <col min="249" max="250" width="8.875" style="204"/>
    <col min="251" max="251" width="22.46484375" style="204" customWidth="1"/>
    <col min="252" max="252" width="17.484375" style="204" customWidth="1"/>
    <col min="253" max="255" width="13.1796875" style="204" customWidth="1"/>
    <col min="256" max="256" width="16.8125" style="204" customWidth="1"/>
    <col min="257" max="257" width="14.66015625" style="204" customWidth="1"/>
    <col min="258" max="502" width="8.875" style="204"/>
    <col min="503" max="503" width="4.16796875" style="204" customWidth="1"/>
    <col min="504" max="504" width="18.6953125" style="204" customWidth="1"/>
    <col min="505" max="506" width="8.875" style="204"/>
    <col min="507" max="507" width="22.46484375" style="204" customWidth="1"/>
    <col min="508" max="508" width="17.484375" style="204" customWidth="1"/>
    <col min="509" max="511" width="13.1796875" style="204" customWidth="1"/>
    <col min="512" max="512" width="16.8125" style="204" customWidth="1"/>
    <col min="513" max="513" width="14.66015625" style="204" customWidth="1"/>
    <col min="514" max="758" width="8.875" style="204"/>
    <col min="759" max="759" width="4.16796875" style="204" customWidth="1"/>
    <col min="760" max="760" width="18.6953125" style="204" customWidth="1"/>
    <col min="761" max="762" width="8.875" style="204"/>
    <col min="763" max="763" width="22.46484375" style="204" customWidth="1"/>
    <col min="764" max="764" width="17.484375" style="204" customWidth="1"/>
    <col min="765" max="767" width="13.1796875" style="204" customWidth="1"/>
    <col min="768" max="768" width="16.8125" style="204" customWidth="1"/>
    <col min="769" max="769" width="14.66015625" style="204" customWidth="1"/>
    <col min="770" max="1014" width="8.875" style="204"/>
    <col min="1015" max="1015" width="4.16796875" style="204" customWidth="1"/>
    <col min="1016" max="1016" width="18.6953125" style="204" customWidth="1"/>
    <col min="1017" max="1018" width="8.875" style="204"/>
    <col min="1019" max="1019" width="22.46484375" style="204" customWidth="1"/>
    <col min="1020" max="1020" width="17.484375" style="204" customWidth="1"/>
    <col min="1021" max="1023" width="13.1796875" style="204" customWidth="1"/>
    <col min="1024" max="1024" width="16.8125" style="204" customWidth="1"/>
    <col min="1025" max="1025" width="14.66015625" style="204" customWidth="1"/>
    <col min="1026" max="1270" width="8.875" style="204"/>
    <col min="1271" max="1271" width="4.16796875" style="204" customWidth="1"/>
    <col min="1272" max="1272" width="18.6953125" style="204" customWidth="1"/>
    <col min="1273" max="1274" width="8.875" style="204"/>
    <col min="1275" max="1275" width="22.46484375" style="204" customWidth="1"/>
    <col min="1276" max="1276" width="17.484375" style="204" customWidth="1"/>
    <col min="1277" max="1279" width="13.1796875" style="204" customWidth="1"/>
    <col min="1280" max="1280" width="16.8125" style="204" customWidth="1"/>
    <col min="1281" max="1281" width="14.66015625" style="204" customWidth="1"/>
    <col min="1282" max="1526" width="8.875" style="204"/>
    <col min="1527" max="1527" width="4.16796875" style="204" customWidth="1"/>
    <col min="1528" max="1528" width="18.6953125" style="204" customWidth="1"/>
    <col min="1529" max="1530" width="8.875" style="204"/>
    <col min="1531" max="1531" width="22.46484375" style="204" customWidth="1"/>
    <col min="1532" max="1532" width="17.484375" style="204" customWidth="1"/>
    <col min="1533" max="1535" width="13.1796875" style="204" customWidth="1"/>
    <col min="1536" max="1536" width="16.8125" style="204" customWidth="1"/>
    <col min="1537" max="1537" width="14.66015625" style="204" customWidth="1"/>
    <col min="1538" max="1782" width="8.875" style="204"/>
    <col min="1783" max="1783" width="4.16796875" style="204" customWidth="1"/>
    <col min="1784" max="1784" width="18.6953125" style="204" customWidth="1"/>
    <col min="1785" max="1786" width="8.875" style="204"/>
    <col min="1787" max="1787" width="22.46484375" style="204" customWidth="1"/>
    <col min="1788" max="1788" width="17.484375" style="204" customWidth="1"/>
    <col min="1789" max="1791" width="13.1796875" style="204" customWidth="1"/>
    <col min="1792" max="1792" width="16.8125" style="204" customWidth="1"/>
    <col min="1793" max="1793" width="14.66015625" style="204" customWidth="1"/>
    <col min="1794" max="2038" width="8.875" style="204"/>
    <col min="2039" max="2039" width="4.16796875" style="204" customWidth="1"/>
    <col min="2040" max="2040" width="18.6953125" style="204" customWidth="1"/>
    <col min="2041" max="2042" width="8.875" style="204"/>
    <col min="2043" max="2043" width="22.46484375" style="204" customWidth="1"/>
    <col min="2044" max="2044" width="17.484375" style="204" customWidth="1"/>
    <col min="2045" max="2047" width="13.1796875" style="204" customWidth="1"/>
    <col min="2048" max="2048" width="16.8125" style="204" customWidth="1"/>
    <col min="2049" max="2049" width="14.66015625" style="204" customWidth="1"/>
    <col min="2050" max="2294" width="8.875" style="204"/>
    <col min="2295" max="2295" width="4.16796875" style="204" customWidth="1"/>
    <col min="2296" max="2296" width="18.6953125" style="204" customWidth="1"/>
    <col min="2297" max="2298" width="8.875" style="204"/>
    <col min="2299" max="2299" width="22.46484375" style="204" customWidth="1"/>
    <col min="2300" max="2300" width="17.484375" style="204" customWidth="1"/>
    <col min="2301" max="2303" width="13.1796875" style="204" customWidth="1"/>
    <col min="2304" max="2304" width="16.8125" style="204" customWidth="1"/>
    <col min="2305" max="2305" width="14.66015625" style="204" customWidth="1"/>
    <col min="2306" max="2550" width="8.875" style="204"/>
    <col min="2551" max="2551" width="4.16796875" style="204" customWidth="1"/>
    <col min="2552" max="2552" width="18.6953125" style="204" customWidth="1"/>
    <col min="2553" max="2554" width="8.875" style="204"/>
    <col min="2555" max="2555" width="22.46484375" style="204" customWidth="1"/>
    <col min="2556" max="2556" width="17.484375" style="204" customWidth="1"/>
    <col min="2557" max="2559" width="13.1796875" style="204" customWidth="1"/>
    <col min="2560" max="2560" width="16.8125" style="204" customWidth="1"/>
    <col min="2561" max="2561" width="14.66015625" style="204" customWidth="1"/>
    <col min="2562" max="2806" width="8.875" style="204"/>
    <col min="2807" max="2807" width="4.16796875" style="204" customWidth="1"/>
    <col min="2808" max="2808" width="18.6953125" style="204" customWidth="1"/>
    <col min="2809" max="2810" width="8.875" style="204"/>
    <col min="2811" max="2811" width="22.46484375" style="204" customWidth="1"/>
    <col min="2812" max="2812" width="17.484375" style="204" customWidth="1"/>
    <col min="2813" max="2815" width="13.1796875" style="204" customWidth="1"/>
    <col min="2816" max="2816" width="16.8125" style="204" customWidth="1"/>
    <col min="2817" max="2817" width="14.66015625" style="204" customWidth="1"/>
    <col min="2818" max="3062" width="8.875" style="204"/>
    <col min="3063" max="3063" width="4.16796875" style="204" customWidth="1"/>
    <col min="3064" max="3064" width="18.6953125" style="204" customWidth="1"/>
    <col min="3065" max="3066" width="8.875" style="204"/>
    <col min="3067" max="3067" width="22.46484375" style="204" customWidth="1"/>
    <col min="3068" max="3068" width="17.484375" style="204" customWidth="1"/>
    <col min="3069" max="3071" width="13.1796875" style="204" customWidth="1"/>
    <col min="3072" max="3072" width="16.8125" style="204" customWidth="1"/>
    <col min="3073" max="3073" width="14.66015625" style="204" customWidth="1"/>
    <col min="3074" max="3318" width="8.875" style="204"/>
    <col min="3319" max="3319" width="4.16796875" style="204" customWidth="1"/>
    <col min="3320" max="3320" width="18.6953125" style="204" customWidth="1"/>
    <col min="3321" max="3322" width="8.875" style="204"/>
    <col min="3323" max="3323" width="22.46484375" style="204" customWidth="1"/>
    <col min="3324" max="3324" width="17.484375" style="204" customWidth="1"/>
    <col min="3325" max="3327" width="13.1796875" style="204" customWidth="1"/>
    <col min="3328" max="3328" width="16.8125" style="204" customWidth="1"/>
    <col min="3329" max="3329" width="14.66015625" style="204" customWidth="1"/>
    <col min="3330" max="3574" width="8.875" style="204"/>
    <col min="3575" max="3575" width="4.16796875" style="204" customWidth="1"/>
    <col min="3576" max="3576" width="18.6953125" style="204" customWidth="1"/>
    <col min="3577" max="3578" width="8.875" style="204"/>
    <col min="3579" max="3579" width="22.46484375" style="204" customWidth="1"/>
    <col min="3580" max="3580" width="17.484375" style="204" customWidth="1"/>
    <col min="3581" max="3583" width="13.1796875" style="204" customWidth="1"/>
    <col min="3584" max="3584" width="16.8125" style="204" customWidth="1"/>
    <col min="3585" max="3585" width="14.66015625" style="204" customWidth="1"/>
    <col min="3586" max="3830" width="8.875" style="204"/>
    <col min="3831" max="3831" width="4.16796875" style="204" customWidth="1"/>
    <col min="3832" max="3832" width="18.6953125" style="204" customWidth="1"/>
    <col min="3833" max="3834" width="8.875" style="204"/>
    <col min="3835" max="3835" width="22.46484375" style="204" customWidth="1"/>
    <col min="3836" max="3836" width="17.484375" style="204" customWidth="1"/>
    <col min="3837" max="3839" width="13.1796875" style="204" customWidth="1"/>
    <col min="3840" max="3840" width="16.8125" style="204" customWidth="1"/>
    <col min="3841" max="3841" width="14.66015625" style="204" customWidth="1"/>
    <col min="3842" max="4086" width="8.875" style="204"/>
    <col min="4087" max="4087" width="4.16796875" style="204" customWidth="1"/>
    <col min="4088" max="4088" width="18.6953125" style="204" customWidth="1"/>
    <col min="4089" max="4090" width="8.875" style="204"/>
    <col min="4091" max="4091" width="22.46484375" style="204" customWidth="1"/>
    <col min="4092" max="4092" width="17.484375" style="204" customWidth="1"/>
    <col min="4093" max="4095" width="13.1796875" style="204" customWidth="1"/>
    <col min="4096" max="4096" width="16.8125" style="204" customWidth="1"/>
    <col min="4097" max="4097" width="14.66015625" style="204" customWidth="1"/>
    <col min="4098" max="4342" width="8.875" style="204"/>
    <col min="4343" max="4343" width="4.16796875" style="204" customWidth="1"/>
    <col min="4344" max="4344" width="18.6953125" style="204" customWidth="1"/>
    <col min="4345" max="4346" width="8.875" style="204"/>
    <col min="4347" max="4347" width="22.46484375" style="204" customWidth="1"/>
    <col min="4348" max="4348" width="17.484375" style="204" customWidth="1"/>
    <col min="4349" max="4351" width="13.1796875" style="204" customWidth="1"/>
    <col min="4352" max="4352" width="16.8125" style="204" customWidth="1"/>
    <col min="4353" max="4353" width="14.66015625" style="204" customWidth="1"/>
    <col min="4354" max="4598" width="8.875" style="204"/>
    <col min="4599" max="4599" width="4.16796875" style="204" customWidth="1"/>
    <col min="4600" max="4600" width="18.6953125" style="204" customWidth="1"/>
    <col min="4601" max="4602" width="8.875" style="204"/>
    <col min="4603" max="4603" width="22.46484375" style="204" customWidth="1"/>
    <col min="4604" max="4604" width="17.484375" style="204" customWidth="1"/>
    <col min="4605" max="4607" width="13.1796875" style="204" customWidth="1"/>
    <col min="4608" max="4608" width="16.8125" style="204" customWidth="1"/>
    <col min="4609" max="4609" width="14.66015625" style="204" customWidth="1"/>
    <col min="4610" max="4854" width="8.875" style="204"/>
    <col min="4855" max="4855" width="4.16796875" style="204" customWidth="1"/>
    <col min="4856" max="4856" width="18.6953125" style="204" customWidth="1"/>
    <col min="4857" max="4858" width="8.875" style="204"/>
    <col min="4859" max="4859" width="22.46484375" style="204" customWidth="1"/>
    <col min="4860" max="4860" width="17.484375" style="204" customWidth="1"/>
    <col min="4861" max="4863" width="13.1796875" style="204" customWidth="1"/>
    <col min="4864" max="4864" width="16.8125" style="204" customWidth="1"/>
    <col min="4865" max="4865" width="14.66015625" style="204" customWidth="1"/>
    <col min="4866" max="5110" width="8.875" style="204"/>
    <col min="5111" max="5111" width="4.16796875" style="204" customWidth="1"/>
    <col min="5112" max="5112" width="18.6953125" style="204" customWidth="1"/>
    <col min="5113" max="5114" width="8.875" style="204"/>
    <col min="5115" max="5115" width="22.46484375" style="204" customWidth="1"/>
    <col min="5116" max="5116" width="17.484375" style="204" customWidth="1"/>
    <col min="5117" max="5119" width="13.1796875" style="204" customWidth="1"/>
    <col min="5120" max="5120" width="16.8125" style="204" customWidth="1"/>
    <col min="5121" max="5121" width="14.66015625" style="204" customWidth="1"/>
    <col min="5122" max="5366" width="8.875" style="204"/>
    <col min="5367" max="5367" width="4.16796875" style="204" customWidth="1"/>
    <col min="5368" max="5368" width="18.6953125" style="204" customWidth="1"/>
    <col min="5369" max="5370" width="8.875" style="204"/>
    <col min="5371" max="5371" width="22.46484375" style="204" customWidth="1"/>
    <col min="5372" max="5372" width="17.484375" style="204" customWidth="1"/>
    <col min="5373" max="5375" width="13.1796875" style="204" customWidth="1"/>
    <col min="5376" max="5376" width="16.8125" style="204" customWidth="1"/>
    <col min="5377" max="5377" width="14.66015625" style="204" customWidth="1"/>
    <col min="5378" max="5622" width="8.875" style="204"/>
    <col min="5623" max="5623" width="4.16796875" style="204" customWidth="1"/>
    <col min="5624" max="5624" width="18.6953125" style="204" customWidth="1"/>
    <col min="5625" max="5626" width="8.875" style="204"/>
    <col min="5627" max="5627" width="22.46484375" style="204" customWidth="1"/>
    <col min="5628" max="5628" width="17.484375" style="204" customWidth="1"/>
    <col min="5629" max="5631" width="13.1796875" style="204" customWidth="1"/>
    <col min="5632" max="5632" width="16.8125" style="204" customWidth="1"/>
    <col min="5633" max="5633" width="14.66015625" style="204" customWidth="1"/>
    <col min="5634" max="5878" width="8.875" style="204"/>
    <col min="5879" max="5879" width="4.16796875" style="204" customWidth="1"/>
    <col min="5880" max="5880" width="18.6953125" style="204" customWidth="1"/>
    <col min="5881" max="5882" width="8.875" style="204"/>
    <col min="5883" max="5883" width="22.46484375" style="204" customWidth="1"/>
    <col min="5884" max="5884" width="17.484375" style="204" customWidth="1"/>
    <col min="5885" max="5887" width="13.1796875" style="204" customWidth="1"/>
    <col min="5888" max="5888" width="16.8125" style="204" customWidth="1"/>
    <col min="5889" max="5889" width="14.66015625" style="204" customWidth="1"/>
    <col min="5890" max="6134" width="8.875" style="204"/>
    <col min="6135" max="6135" width="4.16796875" style="204" customWidth="1"/>
    <col min="6136" max="6136" width="18.6953125" style="204" customWidth="1"/>
    <col min="6137" max="6138" width="8.875" style="204"/>
    <col min="6139" max="6139" width="22.46484375" style="204" customWidth="1"/>
    <col min="6140" max="6140" width="17.484375" style="204" customWidth="1"/>
    <col min="6141" max="6143" width="13.1796875" style="204" customWidth="1"/>
    <col min="6144" max="6144" width="16.8125" style="204" customWidth="1"/>
    <col min="6145" max="6145" width="14.66015625" style="204" customWidth="1"/>
    <col min="6146" max="6390" width="8.875" style="204"/>
    <col min="6391" max="6391" width="4.16796875" style="204" customWidth="1"/>
    <col min="6392" max="6392" width="18.6953125" style="204" customWidth="1"/>
    <col min="6393" max="6394" width="8.875" style="204"/>
    <col min="6395" max="6395" width="22.46484375" style="204" customWidth="1"/>
    <col min="6396" max="6396" width="17.484375" style="204" customWidth="1"/>
    <col min="6397" max="6399" width="13.1796875" style="204" customWidth="1"/>
    <col min="6400" max="6400" width="16.8125" style="204" customWidth="1"/>
    <col min="6401" max="6401" width="14.66015625" style="204" customWidth="1"/>
    <col min="6402" max="6646" width="8.875" style="204"/>
    <col min="6647" max="6647" width="4.16796875" style="204" customWidth="1"/>
    <col min="6648" max="6648" width="18.6953125" style="204" customWidth="1"/>
    <col min="6649" max="6650" width="8.875" style="204"/>
    <col min="6651" max="6651" width="22.46484375" style="204" customWidth="1"/>
    <col min="6652" max="6652" width="17.484375" style="204" customWidth="1"/>
    <col min="6653" max="6655" width="13.1796875" style="204" customWidth="1"/>
    <col min="6656" max="6656" width="16.8125" style="204" customWidth="1"/>
    <col min="6657" max="6657" width="14.66015625" style="204" customWidth="1"/>
    <col min="6658" max="6902" width="8.875" style="204"/>
    <col min="6903" max="6903" width="4.16796875" style="204" customWidth="1"/>
    <col min="6904" max="6904" width="18.6953125" style="204" customWidth="1"/>
    <col min="6905" max="6906" width="8.875" style="204"/>
    <col min="6907" max="6907" width="22.46484375" style="204" customWidth="1"/>
    <col min="6908" max="6908" width="17.484375" style="204" customWidth="1"/>
    <col min="6909" max="6911" width="13.1796875" style="204" customWidth="1"/>
    <col min="6912" max="6912" width="16.8125" style="204" customWidth="1"/>
    <col min="6913" max="6913" width="14.66015625" style="204" customWidth="1"/>
    <col min="6914" max="7158" width="8.875" style="204"/>
    <col min="7159" max="7159" width="4.16796875" style="204" customWidth="1"/>
    <col min="7160" max="7160" width="18.6953125" style="204" customWidth="1"/>
    <col min="7161" max="7162" width="8.875" style="204"/>
    <col min="7163" max="7163" width="22.46484375" style="204" customWidth="1"/>
    <col min="7164" max="7164" width="17.484375" style="204" customWidth="1"/>
    <col min="7165" max="7167" width="13.1796875" style="204" customWidth="1"/>
    <col min="7168" max="7168" width="16.8125" style="204" customWidth="1"/>
    <col min="7169" max="7169" width="14.66015625" style="204" customWidth="1"/>
    <col min="7170" max="7414" width="8.875" style="204"/>
    <col min="7415" max="7415" width="4.16796875" style="204" customWidth="1"/>
    <col min="7416" max="7416" width="18.6953125" style="204" customWidth="1"/>
    <col min="7417" max="7418" width="8.875" style="204"/>
    <col min="7419" max="7419" width="22.46484375" style="204" customWidth="1"/>
    <col min="7420" max="7420" width="17.484375" style="204" customWidth="1"/>
    <col min="7421" max="7423" width="13.1796875" style="204" customWidth="1"/>
    <col min="7424" max="7424" width="16.8125" style="204" customWidth="1"/>
    <col min="7425" max="7425" width="14.66015625" style="204" customWidth="1"/>
    <col min="7426" max="7670" width="8.875" style="204"/>
    <col min="7671" max="7671" width="4.16796875" style="204" customWidth="1"/>
    <col min="7672" max="7672" width="18.6953125" style="204" customWidth="1"/>
    <col min="7673" max="7674" width="8.875" style="204"/>
    <col min="7675" max="7675" width="22.46484375" style="204" customWidth="1"/>
    <col min="7676" max="7676" width="17.484375" style="204" customWidth="1"/>
    <col min="7677" max="7679" width="13.1796875" style="204" customWidth="1"/>
    <col min="7680" max="7680" width="16.8125" style="204" customWidth="1"/>
    <col min="7681" max="7681" width="14.66015625" style="204" customWidth="1"/>
    <col min="7682" max="7926" width="8.875" style="204"/>
    <col min="7927" max="7927" width="4.16796875" style="204" customWidth="1"/>
    <col min="7928" max="7928" width="18.6953125" style="204" customWidth="1"/>
    <col min="7929" max="7930" width="8.875" style="204"/>
    <col min="7931" max="7931" width="22.46484375" style="204" customWidth="1"/>
    <col min="7932" max="7932" width="17.484375" style="204" customWidth="1"/>
    <col min="7933" max="7935" width="13.1796875" style="204" customWidth="1"/>
    <col min="7936" max="7936" width="16.8125" style="204" customWidth="1"/>
    <col min="7937" max="7937" width="14.66015625" style="204" customWidth="1"/>
    <col min="7938" max="8182" width="8.875" style="204"/>
    <col min="8183" max="8183" width="4.16796875" style="204" customWidth="1"/>
    <col min="8184" max="8184" width="18.6953125" style="204" customWidth="1"/>
    <col min="8185" max="8186" width="8.875" style="204"/>
    <col min="8187" max="8187" width="22.46484375" style="204" customWidth="1"/>
    <col min="8188" max="8188" width="17.484375" style="204" customWidth="1"/>
    <col min="8189" max="8191" width="13.1796875" style="204" customWidth="1"/>
    <col min="8192" max="8192" width="16.8125" style="204" customWidth="1"/>
    <col min="8193" max="8193" width="14.66015625" style="204" customWidth="1"/>
    <col min="8194" max="8438" width="8.875" style="204"/>
    <col min="8439" max="8439" width="4.16796875" style="204" customWidth="1"/>
    <col min="8440" max="8440" width="18.6953125" style="204" customWidth="1"/>
    <col min="8441" max="8442" width="8.875" style="204"/>
    <col min="8443" max="8443" width="22.46484375" style="204" customWidth="1"/>
    <col min="8444" max="8444" width="17.484375" style="204" customWidth="1"/>
    <col min="8445" max="8447" width="13.1796875" style="204" customWidth="1"/>
    <col min="8448" max="8448" width="16.8125" style="204" customWidth="1"/>
    <col min="8449" max="8449" width="14.66015625" style="204" customWidth="1"/>
    <col min="8450" max="8694" width="8.875" style="204"/>
    <col min="8695" max="8695" width="4.16796875" style="204" customWidth="1"/>
    <col min="8696" max="8696" width="18.6953125" style="204" customWidth="1"/>
    <col min="8697" max="8698" width="8.875" style="204"/>
    <col min="8699" max="8699" width="22.46484375" style="204" customWidth="1"/>
    <col min="8700" max="8700" width="17.484375" style="204" customWidth="1"/>
    <col min="8701" max="8703" width="13.1796875" style="204" customWidth="1"/>
    <col min="8704" max="8704" width="16.8125" style="204" customWidth="1"/>
    <col min="8705" max="8705" width="14.66015625" style="204" customWidth="1"/>
    <col min="8706" max="8950" width="8.875" style="204"/>
    <col min="8951" max="8951" width="4.16796875" style="204" customWidth="1"/>
    <col min="8952" max="8952" width="18.6953125" style="204" customWidth="1"/>
    <col min="8953" max="8954" width="8.875" style="204"/>
    <col min="8955" max="8955" width="22.46484375" style="204" customWidth="1"/>
    <col min="8956" max="8956" width="17.484375" style="204" customWidth="1"/>
    <col min="8957" max="8959" width="13.1796875" style="204" customWidth="1"/>
    <col min="8960" max="8960" width="16.8125" style="204" customWidth="1"/>
    <col min="8961" max="8961" width="14.66015625" style="204" customWidth="1"/>
    <col min="8962" max="9206" width="8.875" style="204"/>
    <col min="9207" max="9207" width="4.16796875" style="204" customWidth="1"/>
    <col min="9208" max="9208" width="18.6953125" style="204" customWidth="1"/>
    <col min="9209" max="9210" width="8.875" style="204"/>
    <col min="9211" max="9211" width="22.46484375" style="204" customWidth="1"/>
    <col min="9212" max="9212" width="17.484375" style="204" customWidth="1"/>
    <col min="9213" max="9215" width="13.1796875" style="204" customWidth="1"/>
    <col min="9216" max="9216" width="16.8125" style="204" customWidth="1"/>
    <col min="9217" max="9217" width="14.66015625" style="204" customWidth="1"/>
    <col min="9218" max="9462" width="8.875" style="204"/>
    <col min="9463" max="9463" width="4.16796875" style="204" customWidth="1"/>
    <col min="9464" max="9464" width="18.6953125" style="204" customWidth="1"/>
    <col min="9465" max="9466" width="8.875" style="204"/>
    <col min="9467" max="9467" width="22.46484375" style="204" customWidth="1"/>
    <col min="9468" max="9468" width="17.484375" style="204" customWidth="1"/>
    <col min="9469" max="9471" width="13.1796875" style="204" customWidth="1"/>
    <col min="9472" max="9472" width="16.8125" style="204" customWidth="1"/>
    <col min="9473" max="9473" width="14.66015625" style="204" customWidth="1"/>
    <col min="9474" max="9718" width="8.875" style="204"/>
    <col min="9719" max="9719" width="4.16796875" style="204" customWidth="1"/>
    <col min="9720" max="9720" width="18.6953125" style="204" customWidth="1"/>
    <col min="9721" max="9722" width="8.875" style="204"/>
    <col min="9723" max="9723" width="22.46484375" style="204" customWidth="1"/>
    <col min="9724" max="9724" width="17.484375" style="204" customWidth="1"/>
    <col min="9725" max="9727" width="13.1796875" style="204" customWidth="1"/>
    <col min="9728" max="9728" width="16.8125" style="204" customWidth="1"/>
    <col min="9729" max="9729" width="14.66015625" style="204" customWidth="1"/>
    <col min="9730" max="9974" width="8.875" style="204"/>
    <col min="9975" max="9975" width="4.16796875" style="204" customWidth="1"/>
    <col min="9976" max="9976" width="18.6953125" style="204" customWidth="1"/>
    <col min="9977" max="9978" width="8.875" style="204"/>
    <col min="9979" max="9979" width="22.46484375" style="204" customWidth="1"/>
    <col min="9980" max="9980" width="17.484375" style="204" customWidth="1"/>
    <col min="9981" max="9983" width="13.1796875" style="204" customWidth="1"/>
    <col min="9984" max="9984" width="16.8125" style="204" customWidth="1"/>
    <col min="9985" max="9985" width="14.66015625" style="204" customWidth="1"/>
    <col min="9986" max="10230" width="8.875" style="204"/>
    <col min="10231" max="10231" width="4.16796875" style="204" customWidth="1"/>
    <col min="10232" max="10232" width="18.6953125" style="204" customWidth="1"/>
    <col min="10233" max="10234" width="8.875" style="204"/>
    <col min="10235" max="10235" width="22.46484375" style="204" customWidth="1"/>
    <col min="10236" max="10236" width="17.484375" style="204" customWidth="1"/>
    <col min="10237" max="10239" width="13.1796875" style="204" customWidth="1"/>
    <col min="10240" max="10240" width="16.8125" style="204" customWidth="1"/>
    <col min="10241" max="10241" width="14.66015625" style="204" customWidth="1"/>
    <col min="10242" max="10486" width="8.875" style="204"/>
    <col min="10487" max="10487" width="4.16796875" style="204" customWidth="1"/>
    <col min="10488" max="10488" width="18.6953125" style="204" customWidth="1"/>
    <col min="10489" max="10490" width="8.875" style="204"/>
    <col min="10491" max="10491" width="22.46484375" style="204" customWidth="1"/>
    <col min="10492" max="10492" width="17.484375" style="204" customWidth="1"/>
    <col min="10493" max="10495" width="13.1796875" style="204" customWidth="1"/>
    <col min="10496" max="10496" width="16.8125" style="204" customWidth="1"/>
    <col min="10497" max="10497" width="14.66015625" style="204" customWidth="1"/>
    <col min="10498" max="10742" width="8.875" style="204"/>
    <col min="10743" max="10743" width="4.16796875" style="204" customWidth="1"/>
    <col min="10744" max="10744" width="18.6953125" style="204" customWidth="1"/>
    <col min="10745" max="10746" width="8.875" style="204"/>
    <col min="10747" max="10747" width="22.46484375" style="204" customWidth="1"/>
    <col min="10748" max="10748" width="17.484375" style="204" customWidth="1"/>
    <col min="10749" max="10751" width="13.1796875" style="204" customWidth="1"/>
    <col min="10752" max="10752" width="16.8125" style="204" customWidth="1"/>
    <col min="10753" max="10753" width="14.66015625" style="204" customWidth="1"/>
    <col min="10754" max="10998" width="8.875" style="204"/>
    <col min="10999" max="10999" width="4.16796875" style="204" customWidth="1"/>
    <col min="11000" max="11000" width="18.6953125" style="204" customWidth="1"/>
    <col min="11001" max="11002" width="8.875" style="204"/>
    <col min="11003" max="11003" width="22.46484375" style="204" customWidth="1"/>
    <col min="11004" max="11004" width="17.484375" style="204" customWidth="1"/>
    <col min="11005" max="11007" width="13.1796875" style="204" customWidth="1"/>
    <col min="11008" max="11008" width="16.8125" style="204" customWidth="1"/>
    <col min="11009" max="11009" width="14.66015625" style="204" customWidth="1"/>
    <col min="11010" max="11254" width="8.875" style="204"/>
    <col min="11255" max="11255" width="4.16796875" style="204" customWidth="1"/>
    <col min="11256" max="11256" width="18.6953125" style="204" customWidth="1"/>
    <col min="11257" max="11258" width="8.875" style="204"/>
    <col min="11259" max="11259" width="22.46484375" style="204" customWidth="1"/>
    <col min="11260" max="11260" width="17.484375" style="204" customWidth="1"/>
    <col min="11261" max="11263" width="13.1796875" style="204" customWidth="1"/>
    <col min="11264" max="11264" width="16.8125" style="204" customWidth="1"/>
    <col min="11265" max="11265" width="14.66015625" style="204" customWidth="1"/>
    <col min="11266" max="11510" width="8.875" style="204"/>
    <col min="11511" max="11511" width="4.16796875" style="204" customWidth="1"/>
    <col min="11512" max="11512" width="18.6953125" style="204" customWidth="1"/>
    <col min="11513" max="11514" width="8.875" style="204"/>
    <col min="11515" max="11515" width="22.46484375" style="204" customWidth="1"/>
    <col min="11516" max="11516" width="17.484375" style="204" customWidth="1"/>
    <col min="11517" max="11519" width="13.1796875" style="204" customWidth="1"/>
    <col min="11520" max="11520" width="16.8125" style="204" customWidth="1"/>
    <col min="11521" max="11521" width="14.66015625" style="204" customWidth="1"/>
    <col min="11522" max="11766" width="8.875" style="204"/>
    <col min="11767" max="11767" width="4.16796875" style="204" customWidth="1"/>
    <col min="11768" max="11768" width="18.6953125" style="204" customWidth="1"/>
    <col min="11769" max="11770" width="8.875" style="204"/>
    <col min="11771" max="11771" width="22.46484375" style="204" customWidth="1"/>
    <col min="11772" max="11772" width="17.484375" style="204" customWidth="1"/>
    <col min="11773" max="11775" width="13.1796875" style="204" customWidth="1"/>
    <col min="11776" max="11776" width="16.8125" style="204" customWidth="1"/>
    <col min="11777" max="11777" width="14.66015625" style="204" customWidth="1"/>
    <col min="11778" max="12022" width="8.875" style="204"/>
    <col min="12023" max="12023" width="4.16796875" style="204" customWidth="1"/>
    <col min="12024" max="12024" width="18.6953125" style="204" customWidth="1"/>
    <col min="12025" max="12026" width="8.875" style="204"/>
    <col min="12027" max="12027" width="22.46484375" style="204" customWidth="1"/>
    <col min="12028" max="12028" width="17.484375" style="204" customWidth="1"/>
    <col min="12029" max="12031" width="13.1796875" style="204" customWidth="1"/>
    <col min="12032" max="12032" width="16.8125" style="204" customWidth="1"/>
    <col min="12033" max="12033" width="14.66015625" style="204" customWidth="1"/>
    <col min="12034" max="12278" width="8.875" style="204"/>
    <col min="12279" max="12279" width="4.16796875" style="204" customWidth="1"/>
    <col min="12280" max="12280" width="18.6953125" style="204" customWidth="1"/>
    <col min="12281" max="12282" width="8.875" style="204"/>
    <col min="12283" max="12283" width="22.46484375" style="204" customWidth="1"/>
    <col min="12284" max="12284" width="17.484375" style="204" customWidth="1"/>
    <col min="12285" max="12287" width="13.1796875" style="204" customWidth="1"/>
    <col min="12288" max="12288" width="16.8125" style="204" customWidth="1"/>
    <col min="12289" max="12289" width="14.66015625" style="204" customWidth="1"/>
    <col min="12290" max="12534" width="8.875" style="204"/>
    <col min="12535" max="12535" width="4.16796875" style="204" customWidth="1"/>
    <col min="12536" max="12536" width="18.6953125" style="204" customWidth="1"/>
    <col min="12537" max="12538" width="8.875" style="204"/>
    <col min="12539" max="12539" width="22.46484375" style="204" customWidth="1"/>
    <col min="12540" max="12540" width="17.484375" style="204" customWidth="1"/>
    <col min="12541" max="12543" width="13.1796875" style="204" customWidth="1"/>
    <col min="12544" max="12544" width="16.8125" style="204" customWidth="1"/>
    <col min="12545" max="12545" width="14.66015625" style="204" customWidth="1"/>
    <col min="12546" max="12790" width="8.875" style="204"/>
    <col min="12791" max="12791" width="4.16796875" style="204" customWidth="1"/>
    <col min="12792" max="12792" width="18.6953125" style="204" customWidth="1"/>
    <col min="12793" max="12794" width="8.875" style="204"/>
    <col min="12795" max="12795" width="22.46484375" style="204" customWidth="1"/>
    <col min="12796" max="12796" width="17.484375" style="204" customWidth="1"/>
    <col min="12797" max="12799" width="13.1796875" style="204" customWidth="1"/>
    <col min="12800" max="12800" width="16.8125" style="204" customWidth="1"/>
    <col min="12801" max="12801" width="14.66015625" style="204" customWidth="1"/>
    <col min="12802" max="13046" width="8.875" style="204"/>
    <col min="13047" max="13047" width="4.16796875" style="204" customWidth="1"/>
    <col min="13048" max="13048" width="18.6953125" style="204" customWidth="1"/>
    <col min="13049" max="13050" width="8.875" style="204"/>
    <col min="13051" max="13051" width="22.46484375" style="204" customWidth="1"/>
    <col min="13052" max="13052" width="17.484375" style="204" customWidth="1"/>
    <col min="13053" max="13055" width="13.1796875" style="204" customWidth="1"/>
    <col min="13056" max="13056" width="16.8125" style="204" customWidth="1"/>
    <col min="13057" max="13057" width="14.66015625" style="204" customWidth="1"/>
    <col min="13058" max="13302" width="8.875" style="204"/>
    <col min="13303" max="13303" width="4.16796875" style="204" customWidth="1"/>
    <col min="13304" max="13304" width="18.6953125" style="204" customWidth="1"/>
    <col min="13305" max="13306" width="8.875" style="204"/>
    <col min="13307" max="13307" width="22.46484375" style="204" customWidth="1"/>
    <col min="13308" max="13308" width="17.484375" style="204" customWidth="1"/>
    <col min="13309" max="13311" width="13.1796875" style="204" customWidth="1"/>
    <col min="13312" max="13312" width="16.8125" style="204" customWidth="1"/>
    <col min="13313" max="13313" width="14.66015625" style="204" customWidth="1"/>
    <col min="13314" max="13558" width="8.875" style="204"/>
    <col min="13559" max="13559" width="4.16796875" style="204" customWidth="1"/>
    <col min="13560" max="13560" width="18.6953125" style="204" customWidth="1"/>
    <col min="13561" max="13562" width="8.875" style="204"/>
    <col min="13563" max="13563" width="22.46484375" style="204" customWidth="1"/>
    <col min="13564" max="13564" width="17.484375" style="204" customWidth="1"/>
    <col min="13565" max="13567" width="13.1796875" style="204" customWidth="1"/>
    <col min="13568" max="13568" width="16.8125" style="204" customWidth="1"/>
    <col min="13569" max="13569" width="14.66015625" style="204" customWidth="1"/>
    <col min="13570" max="13814" width="8.875" style="204"/>
    <col min="13815" max="13815" width="4.16796875" style="204" customWidth="1"/>
    <col min="13816" max="13816" width="18.6953125" style="204" customWidth="1"/>
    <col min="13817" max="13818" width="8.875" style="204"/>
    <col min="13819" max="13819" width="22.46484375" style="204" customWidth="1"/>
    <col min="13820" max="13820" width="17.484375" style="204" customWidth="1"/>
    <col min="13821" max="13823" width="13.1796875" style="204" customWidth="1"/>
    <col min="13824" max="13824" width="16.8125" style="204" customWidth="1"/>
    <col min="13825" max="13825" width="14.66015625" style="204" customWidth="1"/>
    <col min="13826" max="14070" width="8.875" style="204"/>
    <col min="14071" max="14071" width="4.16796875" style="204" customWidth="1"/>
    <col min="14072" max="14072" width="18.6953125" style="204" customWidth="1"/>
    <col min="14073" max="14074" width="8.875" style="204"/>
    <col min="14075" max="14075" width="22.46484375" style="204" customWidth="1"/>
    <col min="14076" max="14076" width="17.484375" style="204" customWidth="1"/>
    <col min="14077" max="14079" width="13.1796875" style="204" customWidth="1"/>
    <col min="14080" max="14080" width="16.8125" style="204" customWidth="1"/>
    <col min="14081" max="14081" width="14.66015625" style="204" customWidth="1"/>
    <col min="14082" max="14326" width="8.875" style="204"/>
    <col min="14327" max="14327" width="4.16796875" style="204" customWidth="1"/>
    <col min="14328" max="14328" width="18.6953125" style="204" customWidth="1"/>
    <col min="14329" max="14330" width="8.875" style="204"/>
    <col min="14331" max="14331" width="22.46484375" style="204" customWidth="1"/>
    <col min="14332" max="14332" width="17.484375" style="204" customWidth="1"/>
    <col min="14333" max="14335" width="13.1796875" style="204" customWidth="1"/>
    <col min="14336" max="14336" width="16.8125" style="204" customWidth="1"/>
    <col min="14337" max="14337" width="14.66015625" style="204" customWidth="1"/>
    <col min="14338" max="14582" width="8.875" style="204"/>
    <col min="14583" max="14583" width="4.16796875" style="204" customWidth="1"/>
    <col min="14584" max="14584" width="18.6953125" style="204" customWidth="1"/>
    <col min="14585" max="14586" width="8.875" style="204"/>
    <col min="14587" max="14587" width="22.46484375" style="204" customWidth="1"/>
    <col min="14588" max="14588" width="17.484375" style="204" customWidth="1"/>
    <col min="14589" max="14591" width="13.1796875" style="204" customWidth="1"/>
    <col min="14592" max="14592" width="16.8125" style="204" customWidth="1"/>
    <col min="14593" max="14593" width="14.66015625" style="204" customWidth="1"/>
    <col min="14594" max="14838" width="8.875" style="204"/>
    <col min="14839" max="14839" width="4.16796875" style="204" customWidth="1"/>
    <col min="14840" max="14840" width="18.6953125" style="204" customWidth="1"/>
    <col min="14841" max="14842" width="8.875" style="204"/>
    <col min="14843" max="14843" width="22.46484375" style="204" customWidth="1"/>
    <col min="14844" max="14844" width="17.484375" style="204" customWidth="1"/>
    <col min="14845" max="14847" width="13.1796875" style="204" customWidth="1"/>
    <col min="14848" max="14848" width="16.8125" style="204" customWidth="1"/>
    <col min="14849" max="14849" width="14.66015625" style="204" customWidth="1"/>
    <col min="14850" max="15094" width="8.875" style="204"/>
    <col min="15095" max="15095" width="4.16796875" style="204" customWidth="1"/>
    <col min="15096" max="15096" width="18.6953125" style="204" customWidth="1"/>
    <col min="15097" max="15098" width="8.875" style="204"/>
    <col min="15099" max="15099" width="22.46484375" style="204" customWidth="1"/>
    <col min="15100" max="15100" width="17.484375" style="204" customWidth="1"/>
    <col min="15101" max="15103" width="13.1796875" style="204" customWidth="1"/>
    <col min="15104" max="15104" width="16.8125" style="204" customWidth="1"/>
    <col min="15105" max="15105" width="14.66015625" style="204" customWidth="1"/>
    <col min="15106" max="15350" width="8.875" style="204"/>
    <col min="15351" max="15351" width="4.16796875" style="204" customWidth="1"/>
    <col min="15352" max="15352" width="18.6953125" style="204" customWidth="1"/>
    <col min="15353" max="15354" width="8.875" style="204"/>
    <col min="15355" max="15355" width="22.46484375" style="204" customWidth="1"/>
    <col min="15356" max="15356" width="17.484375" style="204" customWidth="1"/>
    <col min="15357" max="15359" width="13.1796875" style="204" customWidth="1"/>
    <col min="15360" max="15360" width="16.8125" style="204" customWidth="1"/>
    <col min="15361" max="15361" width="14.66015625" style="204" customWidth="1"/>
    <col min="15362" max="15606" width="8.875" style="204"/>
    <col min="15607" max="15607" width="4.16796875" style="204" customWidth="1"/>
    <col min="15608" max="15608" width="18.6953125" style="204" customWidth="1"/>
    <col min="15609" max="15610" width="8.875" style="204"/>
    <col min="15611" max="15611" width="22.46484375" style="204" customWidth="1"/>
    <col min="15612" max="15612" width="17.484375" style="204" customWidth="1"/>
    <col min="15613" max="15615" width="13.1796875" style="204" customWidth="1"/>
    <col min="15616" max="15616" width="16.8125" style="204" customWidth="1"/>
    <col min="15617" max="15617" width="14.66015625" style="204" customWidth="1"/>
    <col min="15618" max="15862" width="8.875" style="204"/>
    <col min="15863" max="15863" width="4.16796875" style="204" customWidth="1"/>
    <col min="15864" max="15864" width="18.6953125" style="204" customWidth="1"/>
    <col min="15865" max="15866" width="8.875" style="204"/>
    <col min="15867" max="15867" width="22.46484375" style="204" customWidth="1"/>
    <col min="15868" max="15868" width="17.484375" style="204" customWidth="1"/>
    <col min="15869" max="15871" width="13.1796875" style="204" customWidth="1"/>
    <col min="15872" max="15872" width="16.8125" style="204" customWidth="1"/>
    <col min="15873" max="15873" width="14.66015625" style="204" customWidth="1"/>
    <col min="15874" max="16118" width="8.875" style="204"/>
    <col min="16119" max="16119" width="4.16796875" style="204" customWidth="1"/>
    <col min="16120" max="16120" width="18.6953125" style="204" customWidth="1"/>
    <col min="16121" max="16122" width="8.875" style="204"/>
    <col min="16123" max="16123" width="22.46484375" style="204" customWidth="1"/>
    <col min="16124" max="16124" width="17.484375" style="204" customWidth="1"/>
    <col min="16125" max="16127" width="13.1796875" style="204" customWidth="1"/>
    <col min="16128" max="16128" width="16.8125" style="204" customWidth="1"/>
    <col min="16129" max="16129" width="14.66015625" style="204" customWidth="1"/>
    <col min="16130" max="16384" width="8.875" style="204"/>
  </cols>
  <sheetData>
    <row r="1" spans="2:17" ht="9" customHeight="1" x14ac:dyDescent="0.2">
      <c r="C1" s="205"/>
    </row>
    <row r="2" spans="2:17" ht="20.25" customHeight="1" x14ac:dyDescent="0.2">
      <c r="B2" s="209" t="s">
        <v>0</v>
      </c>
    </row>
    <row r="3" spans="2:17" ht="14.25" customHeight="1" x14ac:dyDescent="0.2">
      <c r="B3" s="210" t="s">
        <v>1</v>
      </c>
    </row>
    <row r="4" spans="2:17" ht="15" customHeight="1" x14ac:dyDescent="0.2">
      <c r="B4" s="211" t="s">
        <v>154</v>
      </c>
    </row>
    <row r="5" spans="2:17" s="212" customFormat="1" ht="15" customHeight="1" thickBot="1" x14ac:dyDescent="0.25">
      <c r="G5" s="213" t="s">
        <v>2</v>
      </c>
      <c r="H5" s="214" t="s">
        <v>3</v>
      </c>
      <c r="I5" s="215"/>
      <c r="J5" s="215"/>
      <c r="K5" s="216"/>
    </row>
    <row r="6" spans="2:17" s="224" customFormat="1" ht="42" thickBot="1" x14ac:dyDescent="0.25">
      <c r="B6" s="217" t="s">
        <v>4</v>
      </c>
      <c r="C6" s="218" t="s">
        <v>5</v>
      </c>
      <c r="D6" s="218" t="s">
        <v>6</v>
      </c>
      <c r="E6" s="218" t="s">
        <v>7</v>
      </c>
      <c r="F6" s="218" t="s">
        <v>8</v>
      </c>
      <c r="G6" s="219" t="s">
        <v>9</v>
      </c>
      <c r="H6" s="219" t="s">
        <v>10</v>
      </c>
      <c r="I6" s="220" t="s">
        <v>11</v>
      </c>
      <c r="J6" s="221" t="s">
        <v>12</v>
      </c>
      <c r="K6" s="222" t="s">
        <v>13</v>
      </c>
      <c r="L6" s="223" t="s">
        <v>14</v>
      </c>
      <c r="N6" s="212" t="s">
        <v>15</v>
      </c>
      <c r="O6" s="224" t="s">
        <v>16</v>
      </c>
      <c r="P6" s="224" t="s">
        <v>17</v>
      </c>
      <c r="Q6" s="224" t="s">
        <v>18</v>
      </c>
    </row>
    <row r="7" spans="2:17" s="235" customFormat="1" ht="15" customHeight="1" thickBot="1" x14ac:dyDescent="0.25">
      <c r="B7" s="241" t="s">
        <v>50</v>
      </c>
      <c r="C7" s="242">
        <v>16</v>
      </c>
      <c r="D7" s="243">
        <v>7</v>
      </c>
      <c r="E7" s="230" t="str">
        <f t="shared" ref="E7:E10" si="0">CONCATENATE(B7,"/",C7,"/",D7)</f>
        <v>Sycamore Heights/16/7</v>
      </c>
      <c r="F7" s="230">
        <v>250</v>
      </c>
      <c r="G7" s="231"/>
      <c r="H7" s="231"/>
      <c r="I7" s="244">
        <v>8875000</v>
      </c>
      <c r="J7" s="232"/>
      <c r="K7" s="233"/>
      <c r="L7" s="234"/>
      <c r="N7" s="236"/>
      <c r="O7" s="237"/>
      <c r="P7" s="237"/>
      <c r="Q7" s="238"/>
    </row>
    <row r="8" spans="2:17" s="235" customFormat="1" ht="15" customHeight="1" thickBot="1" x14ac:dyDescent="0.25">
      <c r="B8" s="241" t="s">
        <v>50</v>
      </c>
      <c r="C8" s="242">
        <v>29</v>
      </c>
      <c r="D8" s="243">
        <v>6</v>
      </c>
      <c r="E8" s="230" t="str">
        <f t="shared" si="0"/>
        <v>Sycamore Heights/29/6</v>
      </c>
      <c r="F8" s="230">
        <v>512</v>
      </c>
      <c r="G8" s="231"/>
      <c r="H8" s="231"/>
      <c r="I8" s="244">
        <v>18984300</v>
      </c>
      <c r="J8" s="232"/>
      <c r="K8" s="233"/>
      <c r="L8" s="234"/>
      <c r="N8" s="236"/>
      <c r="O8" s="237"/>
      <c r="P8" s="237"/>
      <c r="Q8" s="238"/>
    </row>
    <row r="9" spans="2:17" s="235" customFormat="1" ht="15" customHeight="1" thickBot="1" x14ac:dyDescent="0.25">
      <c r="B9" s="241" t="s">
        <v>41</v>
      </c>
      <c r="C9" s="245">
        <v>2</v>
      </c>
      <c r="D9" s="243">
        <v>15</v>
      </c>
      <c r="E9" s="230" t="str">
        <f t="shared" si="0"/>
        <v>Fairfield/2/15</v>
      </c>
      <c r="F9" s="230">
        <v>500</v>
      </c>
      <c r="G9" s="231"/>
      <c r="H9" s="231"/>
      <c r="I9" s="244">
        <v>11336400</v>
      </c>
      <c r="J9" s="232"/>
      <c r="K9" s="233"/>
      <c r="L9" s="234"/>
      <c r="N9" s="236"/>
      <c r="O9" s="237"/>
      <c r="P9" s="237"/>
      <c r="Q9" s="238"/>
    </row>
    <row r="10" spans="2:17" s="235" customFormat="1" ht="15" customHeight="1" thickBot="1" x14ac:dyDescent="0.25">
      <c r="B10" s="241" t="s">
        <v>257</v>
      </c>
      <c r="C10" s="230">
        <v>5</v>
      </c>
      <c r="D10" s="230">
        <v>5</v>
      </c>
      <c r="E10" s="230" t="str">
        <f t="shared" si="0"/>
        <v>Nob Hill/5/5</v>
      </c>
      <c r="F10" s="230">
        <v>597</v>
      </c>
      <c r="G10" s="231"/>
      <c r="H10" s="231"/>
      <c r="I10" s="244">
        <v>17314000</v>
      </c>
      <c r="J10" s="232"/>
      <c r="K10" s="233"/>
      <c r="L10" s="234"/>
      <c r="N10" s="236"/>
      <c r="O10" s="237"/>
      <c r="P10" s="237"/>
      <c r="Q10" s="238"/>
    </row>
    <row r="11" spans="2:17" s="235" customFormat="1" ht="15.75" thickBot="1" x14ac:dyDescent="0.25">
      <c r="B11" s="239"/>
      <c r="C11" s="230"/>
      <c r="D11" s="230"/>
      <c r="E11" s="230" t="str">
        <f t="shared" ref="E11" si="1">CONCATENATE(B11,"/",C11,"/",D11)</f>
        <v>//</v>
      </c>
      <c r="F11" s="230"/>
      <c r="G11" s="231"/>
      <c r="H11" s="239"/>
      <c r="I11" s="240"/>
      <c r="J11" s="230"/>
      <c r="K11" s="230"/>
      <c r="L11" s="230"/>
      <c r="M11" s="231"/>
      <c r="N11" s="231"/>
      <c r="O11" s="232"/>
      <c r="P11" s="232"/>
    </row>
    <row r="12" spans="2:17" s="235" customFormat="1" ht="15.75" thickBot="1" x14ac:dyDescent="0.25">
      <c r="B12" s="239"/>
      <c r="C12" s="230"/>
      <c r="D12" s="230"/>
      <c r="E12" s="230"/>
      <c r="F12" s="230"/>
      <c r="G12" s="231"/>
      <c r="H12" s="239"/>
      <c r="I12" s="240"/>
      <c r="J12" s="230"/>
      <c r="K12" s="230"/>
      <c r="L12" s="230"/>
      <c r="M12" s="231"/>
      <c r="N12" s="231"/>
      <c r="O12" s="232"/>
      <c r="P12" s="232"/>
    </row>
    <row r="13" spans="2:17" s="235" customFormat="1" ht="15.75" thickBot="1" x14ac:dyDescent="0.25">
      <c r="B13" s="239"/>
      <c r="C13" s="230"/>
      <c r="D13" s="230"/>
      <c r="E13" s="230"/>
      <c r="F13" s="230"/>
      <c r="G13" s="231"/>
      <c r="H13" s="231"/>
      <c r="I13" s="230"/>
      <c r="J13" s="230"/>
      <c r="K13" s="230"/>
      <c r="L13" s="230"/>
      <c r="M13" s="231"/>
      <c r="N13" s="231"/>
      <c r="O13" s="232"/>
      <c r="P13" s="232"/>
    </row>
    <row r="14" spans="2:17" ht="15.75" thickBot="1" x14ac:dyDescent="0.25">
      <c r="B14" s="228"/>
      <c r="C14" s="225"/>
      <c r="D14" s="225"/>
      <c r="E14" s="225"/>
      <c r="F14" s="225"/>
      <c r="G14" s="226"/>
      <c r="H14" s="226"/>
      <c r="I14" s="225"/>
      <c r="J14" s="225"/>
      <c r="K14" s="225"/>
      <c r="L14" s="225"/>
      <c r="M14" s="226"/>
      <c r="N14" s="226"/>
      <c r="O14" s="227"/>
      <c r="P14" s="227"/>
    </row>
    <row r="15" spans="2:17" ht="15.75" thickBot="1" x14ac:dyDescent="0.25">
      <c r="B15" s="228"/>
      <c r="C15" s="225"/>
      <c r="D15" s="225"/>
      <c r="E15" s="225"/>
      <c r="F15" s="225"/>
      <c r="G15" s="226"/>
      <c r="H15" s="226"/>
      <c r="I15" s="225"/>
      <c r="J15" s="225"/>
      <c r="K15" s="225"/>
      <c r="L15" s="225"/>
      <c r="M15" s="226"/>
      <c r="N15" s="226"/>
      <c r="O15" s="227"/>
      <c r="P15" s="227"/>
    </row>
    <row r="16" spans="2:17" ht="15.75" thickBot="1" x14ac:dyDescent="0.25">
      <c r="B16" s="228"/>
      <c r="C16" s="225"/>
      <c r="D16" s="225"/>
      <c r="E16" s="225"/>
      <c r="F16" s="225"/>
      <c r="G16" s="226"/>
      <c r="H16" s="228"/>
      <c r="I16" s="225"/>
      <c r="J16" s="225"/>
      <c r="K16" s="225"/>
      <c r="L16" s="225"/>
      <c r="M16" s="226"/>
      <c r="N16" s="226"/>
      <c r="O16" s="227"/>
      <c r="P16" s="227"/>
    </row>
    <row r="17" spans="2:16" ht="15.75" thickBot="1" x14ac:dyDescent="0.25">
      <c r="B17" s="228"/>
      <c r="H17" s="228"/>
      <c r="I17" s="225"/>
      <c r="J17" s="225"/>
      <c r="K17" s="225"/>
      <c r="L17" s="225"/>
      <c r="M17" s="226"/>
      <c r="N17" s="226"/>
      <c r="O17" s="227"/>
      <c r="P17" s="227"/>
    </row>
  </sheetData>
  <sheetProtection password="CAF1" sheet="1" selectLockedCells="1" selectUnlockedCells="1"/>
  <pageMargins left="0.7" right="0.7" top="0.75" bottom="0.75" header="0.3" footer="0.3"/>
  <pageSetup paperSize="258"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50"/>
    <pageSetUpPr fitToPage="1"/>
  </sheetPr>
  <dimension ref="A1:AB106"/>
  <sheetViews>
    <sheetView topLeftCell="A4" workbookViewId="0">
      <selection activeCell="L4" sqref="L4"/>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5.4687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f>INPUT!D47</f>
        <v>17314000</v>
      </c>
      <c r="D9" s="281"/>
      <c r="L9" s="31"/>
      <c r="M9" s="31"/>
      <c r="N9" s="31"/>
    </row>
    <row r="10" spans="2:28" x14ac:dyDescent="0.2">
      <c r="B10" s="278"/>
      <c r="C10" s="151" t="s">
        <v>262</v>
      </c>
      <c r="D10" s="152"/>
      <c r="L10" s="31"/>
      <c r="M10" s="31"/>
      <c r="N10" s="31"/>
    </row>
    <row r="11" spans="2:28" x14ac:dyDescent="0.2">
      <c r="B11" s="278"/>
      <c r="C11" s="151" t="s">
        <v>263</v>
      </c>
      <c r="D11" s="152"/>
      <c r="L11" s="31"/>
      <c r="M11" s="31"/>
      <c r="N11" s="31"/>
    </row>
    <row r="12" spans="2:28" ht="15.75" thickBot="1" x14ac:dyDescent="0.25">
      <c r="B12" s="279"/>
      <c r="C12" s="272" t="s">
        <v>156</v>
      </c>
      <c r="D12" s="273"/>
      <c r="L12" s="31"/>
      <c r="M12" s="31"/>
      <c r="N12" s="31"/>
    </row>
    <row r="13" spans="2:28" x14ac:dyDescent="0.2">
      <c r="E13" s="33"/>
      <c r="F13" s="33"/>
      <c r="G13" s="33"/>
      <c r="H13" s="33"/>
      <c r="I13" s="33"/>
      <c r="J13" s="33"/>
      <c r="K13" s="33"/>
      <c r="L13" s="86" t="s">
        <v>150</v>
      </c>
      <c r="M13" s="87">
        <v>0.02</v>
      </c>
      <c r="N13" s="33"/>
    </row>
    <row r="14" spans="2:28" x14ac:dyDescent="0.2">
      <c r="B14" s="34" t="s">
        <v>64</v>
      </c>
      <c r="C14" s="34"/>
      <c r="E14" s="33"/>
      <c r="F14" s="33"/>
      <c r="G14" s="33"/>
      <c r="H14" s="33"/>
      <c r="I14" s="33"/>
      <c r="J14" s="33"/>
      <c r="K14" s="33"/>
      <c r="L14" s="33"/>
      <c r="M14" s="87">
        <v>0</v>
      </c>
      <c r="N14" s="33"/>
    </row>
    <row r="15" spans="2:28" x14ac:dyDescent="0.2">
      <c r="B15" s="35" t="s">
        <v>65</v>
      </c>
      <c r="C15" s="36"/>
      <c r="D15" s="37">
        <f>C9</f>
        <v>17314000</v>
      </c>
      <c r="E15" s="38" t="e">
        <f>#REF!</f>
        <v>#REF!</v>
      </c>
      <c r="F15" s="39" t="e">
        <f>D15-E15</f>
        <v>#REF!</v>
      </c>
      <c r="G15" s="33"/>
      <c r="H15" s="33"/>
      <c r="I15" s="95"/>
      <c r="J15" s="33"/>
      <c r="K15" s="33"/>
      <c r="L15" s="33"/>
      <c r="M15" s="33"/>
      <c r="N15" s="33"/>
      <c r="O15" s="33"/>
      <c r="P15" s="33"/>
      <c r="Q15" s="33"/>
      <c r="R15" s="33"/>
      <c r="S15" s="33"/>
      <c r="T15" s="31"/>
      <c r="U15" s="31"/>
      <c r="V15" s="31"/>
      <c r="W15" s="31"/>
      <c r="X15" s="31"/>
      <c r="Y15" s="31"/>
      <c r="Z15" s="31"/>
    </row>
    <row r="16" spans="2:28" x14ac:dyDescent="0.2">
      <c r="B16" s="115"/>
      <c r="C16" s="41"/>
      <c r="D16" s="42"/>
      <c r="E16" s="43"/>
      <c r="F16" s="39"/>
      <c r="G16" s="39"/>
      <c r="H16" s="39"/>
      <c r="I16" s="33"/>
      <c r="J16" s="33"/>
      <c r="K16" s="95"/>
      <c r="L16" s="33"/>
      <c r="M16" s="33"/>
      <c r="N16" s="33"/>
      <c r="O16" s="33"/>
      <c r="P16" s="33"/>
      <c r="Q16" s="65"/>
      <c r="R16" s="65"/>
      <c r="S16" s="33"/>
      <c r="T16" s="33"/>
      <c r="U16" s="33"/>
      <c r="V16" s="31"/>
      <c r="W16" s="31"/>
      <c r="X16" s="31"/>
      <c r="Y16" s="31"/>
      <c r="Z16" s="31"/>
      <c r="AA16" s="31"/>
      <c r="AB16" s="31"/>
    </row>
    <row r="17" spans="2:28" hidden="1" x14ac:dyDescent="0.2">
      <c r="B17" s="115"/>
      <c r="C17" s="69"/>
      <c r="D17" s="42"/>
      <c r="E17" s="43"/>
      <c r="F17" s="39"/>
      <c r="G17" s="39"/>
      <c r="H17" s="39"/>
      <c r="I17" s="33"/>
      <c r="J17" s="33"/>
      <c r="K17" s="95"/>
      <c r="L17" s="33"/>
      <c r="M17" s="33"/>
      <c r="N17" s="33"/>
      <c r="O17" s="33"/>
      <c r="P17" s="33"/>
      <c r="Q17" s="65"/>
      <c r="R17" s="65"/>
      <c r="S17" s="33"/>
      <c r="T17" s="33"/>
      <c r="U17" s="33"/>
      <c r="V17" s="31"/>
      <c r="W17" s="31"/>
      <c r="X17" s="31"/>
      <c r="Y17" s="31"/>
      <c r="Z17" s="31"/>
      <c r="AA17" s="31"/>
      <c r="AB17" s="31"/>
    </row>
    <row r="18" spans="2:28" x14ac:dyDescent="0.2">
      <c r="B18" s="115">
        <f>IF(INPUT!$D$42="Repeat Buyer",Classic_Mem_Inst1!$L$13,Classic_Mem_Inst1!$L$14)</f>
        <v>0</v>
      </c>
      <c r="C18" s="97">
        <f>IF(B18=Classic_Mem_Inst1!$L$13,Classic_Mem_Inst1!$M$13,Classic_Mem_Inst1!$M$14)</f>
        <v>0</v>
      </c>
      <c r="D18" s="42">
        <f>(D15-D16-D17)*C18</f>
        <v>0</v>
      </c>
      <c r="E18" s="44"/>
      <c r="F18" s="39"/>
      <c r="G18" s="39"/>
      <c r="H18" s="39"/>
      <c r="I18" s="33"/>
      <c r="J18" s="33"/>
      <c r="K18" s="95"/>
      <c r="L18" s="33"/>
      <c r="M18" s="33"/>
      <c r="N18" s="33"/>
      <c r="O18" s="33"/>
      <c r="P18" s="33"/>
      <c r="Q18" s="33"/>
      <c r="R18" s="33"/>
      <c r="S18" s="33"/>
      <c r="T18" s="33"/>
      <c r="U18" s="33"/>
      <c r="V18" s="31"/>
      <c r="W18" s="31"/>
      <c r="X18" s="31"/>
      <c r="Y18" s="31"/>
      <c r="Z18" s="31"/>
      <c r="AA18" s="31"/>
      <c r="AB18" s="31"/>
    </row>
    <row r="19" spans="2:28" x14ac:dyDescent="0.2">
      <c r="B19" s="40" t="s">
        <v>68</v>
      </c>
      <c r="C19" s="97">
        <v>0.05</v>
      </c>
      <c r="D19" s="42">
        <f>((D15-D16-D17-D18)/1.12)*C19</f>
        <v>772946.42857142852</v>
      </c>
      <c r="E19" s="120"/>
      <c r="F19" s="113"/>
      <c r="G19" s="113"/>
      <c r="H19" s="113"/>
      <c r="I19" s="31"/>
      <c r="J19" s="31"/>
      <c r="K19" s="31"/>
      <c r="L19" s="31"/>
      <c r="M19" s="31"/>
      <c r="N19" s="31"/>
      <c r="O19" s="31"/>
      <c r="P19" s="31"/>
      <c r="Q19" s="31"/>
      <c r="R19" s="31"/>
      <c r="S19" s="31"/>
      <c r="T19" s="31"/>
      <c r="U19" s="31"/>
      <c r="V19" s="31"/>
      <c r="W19" s="31"/>
      <c r="X19" s="31"/>
      <c r="Y19" s="31"/>
      <c r="Z19" s="31"/>
      <c r="AA19" s="31"/>
      <c r="AB19" s="31"/>
    </row>
    <row r="20" spans="2:28" ht="15.75" thickBot="1" x14ac:dyDescent="0.25">
      <c r="B20" s="45" t="s">
        <v>69</v>
      </c>
      <c r="C20" s="46"/>
      <c r="D20" s="47">
        <f>(D15-SUM(D16:D18))+D19</f>
        <v>18086946.428571429</v>
      </c>
      <c r="E20" s="38"/>
      <c r="F20" s="39"/>
      <c r="G20" s="39"/>
      <c r="H20" s="39"/>
      <c r="I20" s="33"/>
      <c r="J20" s="33"/>
      <c r="K20" s="95"/>
      <c r="L20" s="33"/>
      <c r="M20" s="33"/>
      <c r="N20" s="33"/>
      <c r="O20" s="33"/>
      <c r="P20" s="33"/>
      <c r="Q20" s="33"/>
      <c r="R20" s="33"/>
      <c r="S20" s="33"/>
      <c r="T20" s="33"/>
      <c r="U20" s="33"/>
      <c r="V20" s="31"/>
      <c r="W20" s="31"/>
      <c r="X20" s="31"/>
      <c r="Y20" s="31"/>
      <c r="Z20" s="31"/>
      <c r="AA20" s="31"/>
      <c r="AB20" s="31"/>
    </row>
    <row r="21" spans="2:28" ht="16.5" thickTop="1" thickBot="1" x14ac:dyDescent="0.25"/>
    <row r="22" spans="2:28" ht="15.75" thickBot="1" x14ac:dyDescent="0.25">
      <c r="B22" s="274" t="s">
        <v>70</v>
      </c>
      <c r="C22" s="275"/>
      <c r="D22" s="78" t="s">
        <v>71</v>
      </c>
      <c r="E22" s="78" t="s">
        <v>72</v>
      </c>
      <c r="F22" s="78" t="s">
        <v>73</v>
      </c>
      <c r="G22" s="78" t="s">
        <v>74</v>
      </c>
      <c r="H22" s="78" t="s">
        <v>75</v>
      </c>
      <c r="I22" s="79" t="s">
        <v>76</v>
      </c>
      <c r="J22" s="33"/>
      <c r="K22" s="33"/>
      <c r="L22" s="33"/>
      <c r="M22" s="33"/>
      <c r="N22" s="33"/>
    </row>
    <row r="23" spans="2:28" x14ac:dyDescent="0.2">
      <c r="B23" s="302">
        <v>0</v>
      </c>
      <c r="C23" s="303"/>
      <c r="D23" s="50">
        <f ca="1">INPUT!D48</f>
        <v>45360</v>
      </c>
      <c r="E23" s="153" t="s">
        <v>77</v>
      </c>
      <c r="F23" s="51">
        <v>50000</v>
      </c>
      <c r="G23" s="106"/>
      <c r="H23" s="106">
        <f>SUM(F23:G23)</f>
        <v>50000</v>
      </c>
      <c r="I23" s="52">
        <f>D20-H23</f>
        <v>18036946.428571429</v>
      </c>
      <c r="J23" s="53" t="s">
        <v>78</v>
      </c>
      <c r="K23" s="33"/>
      <c r="L23" s="38">
        <v>56000</v>
      </c>
      <c r="M23" s="39">
        <f>L23-F23</f>
        <v>6000</v>
      </c>
      <c r="N23" s="33"/>
    </row>
    <row r="24" spans="2:28" hidden="1" x14ac:dyDescent="0.2">
      <c r="B24" s="290"/>
      <c r="C24" s="265"/>
      <c r="D24" s="70">
        <v>44948</v>
      </c>
      <c r="E24" s="74" t="s">
        <v>79</v>
      </c>
      <c r="F24" s="75"/>
      <c r="G24" s="118"/>
      <c r="H24" s="118">
        <v>0</v>
      </c>
      <c r="I24" s="76">
        <f>I23-H24</f>
        <v>18036946.428571429</v>
      </c>
      <c r="J24" s="53"/>
      <c r="K24" s="33"/>
      <c r="L24" s="38"/>
      <c r="M24" s="39"/>
      <c r="N24" s="33"/>
    </row>
    <row r="25" spans="2:28" x14ac:dyDescent="0.2">
      <c r="B25" s="290">
        <f>B24+1</f>
        <v>1</v>
      </c>
      <c r="C25" s="265"/>
      <c r="D25" s="70">
        <f ca="1">EDATE(D23,1)</f>
        <v>45391</v>
      </c>
      <c r="E25" s="150" t="s">
        <v>157</v>
      </c>
      <c r="F25" s="71">
        <f>(((D20-D19)*10%)-F23)/3</f>
        <v>560466.66666666663</v>
      </c>
      <c r="G25" s="107">
        <f>(((D19)*10%))/3</f>
        <v>25764.88095238095</v>
      </c>
      <c r="H25" s="107">
        <f>SUM(F25:G25)</f>
        <v>586231.54761904757</v>
      </c>
      <c r="I25" s="76">
        <f>I24-H25</f>
        <v>17450714.880952381</v>
      </c>
      <c r="J25" s="53"/>
      <c r="K25" s="33"/>
      <c r="L25" s="38"/>
      <c r="M25" s="39"/>
      <c r="N25" s="33"/>
    </row>
    <row r="26" spans="2:28" x14ac:dyDescent="0.2">
      <c r="B26" s="290">
        <f t="shared" ref="B26:B64" si="0">B25+1</f>
        <v>2</v>
      </c>
      <c r="C26" s="265"/>
      <c r="D26" s="70">
        <f ca="1">EDATE(D25,1)</f>
        <v>45421</v>
      </c>
      <c r="E26" s="150" t="s">
        <v>158</v>
      </c>
      <c r="F26" s="71">
        <f>F25</f>
        <v>560466.66666666663</v>
      </c>
      <c r="G26" s="107">
        <f>G25</f>
        <v>25764.88095238095</v>
      </c>
      <c r="H26" s="107">
        <f>SUM(F26:G26)</f>
        <v>586231.54761904757</v>
      </c>
      <c r="I26" s="76">
        <f t="shared" ref="I26:I64" si="1">I25-H26</f>
        <v>16864483.333333332</v>
      </c>
      <c r="J26" s="53"/>
      <c r="K26" s="33"/>
      <c r="L26" s="38"/>
      <c r="M26" s="39"/>
      <c r="N26" s="33"/>
    </row>
    <row r="27" spans="2:28" x14ac:dyDescent="0.2">
      <c r="B27" s="290">
        <f t="shared" si="0"/>
        <v>3</v>
      </c>
      <c r="C27" s="265"/>
      <c r="D27" s="70">
        <f t="shared" ref="D27:D64" ca="1" si="2">EDATE(D26,1)</f>
        <v>45452</v>
      </c>
      <c r="E27" s="150" t="s">
        <v>159</v>
      </c>
      <c r="F27" s="71">
        <f>F26</f>
        <v>560466.66666666663</v>
      </c>
      <c r="G27" s="107">
        <f>G26</f>
        <v>25764.88095238095</v>
      </c>
      <c r="H27" s="107">
        <f t="shared" ref="H27:H61" si="3">SUM(F27:G27)</f>
        <v>586231.54761904757</v>
      </c>
      <c r="I27" s="76">
        <f t="shared" si="1"/>
        <v>16278251.785714284</v>
      </c>
      <c r="J27" s="53"/>
      <c r="K27" s="33"/>
      <c r="L27" s="38"/>
      <c r="M27" s="39"/>
      <c r="N27" s="33"/>
    </row>
    <row r="28" spans="2:28" x14ac:dyDescent="0.2">
      <c r="B28" s="290">
        <f t="shared" si="0"/>
        <v>4</v>
      </c>
      <c r="C28" s="265"/>
      <c r="D28" s="70">
        <f t="shared" ca="1" si="2"/>
        <v>45482</v>
      </c>
      <c r="E28" s="150" t="s">
        <v>160</v>
      </c>
      <c r="F28" s="71">
        <f>(((D20-D19)*40%)/36)</f>
        <v>192377.77777777778</v>
      </c>
      <c r="G28" s="107">
        <f>(((D19)*40%))/36</f>
        <v>8588.2936507936502</v>
      </c>
      <c r="H28" s="107">
        <f t="shared" si="3"/>
        <v>200966.07142857142</v>
      </c>
      <c r="I28" s="76">
        <f t="shared" si="1"/>
        <v>16077285.714285713</v>
      </c>
      <c r="J28" s="53"/>
      <c r="K28" s="33"/>
      <c r="L28" s="38"/>
      <c r="M28" s="39"/>
      <c r="N28" s="33"/>
    </row>
    <row r="29" spans="2:28" x14ac:dyDescent="0.2">
      <c r="B29" s="290">
        <f t="shared" si="0"/>
        <v>5</v>
      </c>
      <c r="C29" s="265"/>
      <c r="D29" s="70">
        <f t="shared" ca="1" si="2"/>
        <v>45513</v>
      </c>
      <c r="E29" s="150" t="s">
        <v>161</v>
      </c>
      <c r="F29" s="71">
        <f t="shared" ref="F29:G43" si="4">F28</f>
        <v>192377.77777777778</v>
      </c>
      <c r="G29" s="107">
        <f t="shared" si="4"/>
        <v>8588.2936507936502</v>
      </c>
      <c r="H29" s="107">
        <f t="shared" si="3"/>
        <v>200966.07142857142</v>
      </c>
      <c r="I29" s="76">
        <f t="shared" si="1"/>
        <v>15876319.642857142</v>
      </c>
      <c r="J29" s="53"/>
      <c r="K29" s="33"/>
      <c r="L29" s="38"/>
      <c r="M29" s="39"/>
      <c r="N29" s="33"/>
    </row>
    <row r="30" spans="2:28" x14ac:dyDescent="0.2">
      <c r="B30" s="290">
        <f t="shared" si="0"/>
        <v>6</v>
      </c>
      <c r="C30" s="265"/>
      <c r="D30" s="70">
        <f t="shared" ca="1" si="2"/>
        <v>45544</v>
      </c>
      <c r="E30" s="150" t="s">
        <v>162</v>
      </c>
      <c r="F30" s="71">
        <f t="shared" si="4"/>
        <v>192377.77777777778</v>
      </c>
      <c r="G30" s="107">
        <f t="shared" si="4"/>
        <v>8588.2936507936502</v>
      </c>
      <c r="H30" s="107">
        <f t="shared" si="3"/>
        <v>200966.07142857142</v>
      </c>
      <c r="I30" s="76">
        <f t="shared" si="1"/>
        <v>15675353.571428571</v>
      </c>
      <c r="J30" s="53"/>
      <c r="K30" s="33"/>
      <c r="L30" s="38"/>
      <c r="M30" s="39"/>
      <c r="N30" s="33"/>
    </row>
    <row r="31" spans="2:28" x14ac:dyDescent="0.2">
      <c r="B31" s="290">
        <f t="shared" si="0"/>
        <v>7</v>
      </c>
      <c r="C31" s="265"/>
      <c r="D31" s="70">
        <f t="shared" ca="1" si="2"/>
        <v>45574</v>
      </c>
      <c r="E31" s="150" t="s">
        <v>163</v>
      </c>
      <c r="F31" s="71">
        <f t="shared" si="4"/>
        <v>192377.77777777778</v>
      </c>
      <c r="G31" s="107">
        <f t="shared" si="4"/>
        <v>8588.2936507936502</v>
      </c>
      <c r="H31" s="107">
        <f t="shared" si="3"/>
        <v>200966.07142857142</v>
      </c>
      <c r="I31" s="76">
        <f t="shared" si="1"/>
        <v>15474387.5</v>
      </c>
      <c r="J31" s="53"/>
      <c r="K31" s="33"/>
      <c r="L31" s="38"/>
      <c r="M31" s="39"/>
      <c r="N31" s="33"/>
    </row>
    <row r="32" spans="2:28" x14ac:dyDescent="0.2">
      <c r="B32" s="290">
        <f t="shared" si="0"/>
        <v>8</v>
      </c>
      <c r="C32" s="265"/>
      <c r="D32" s="70">
        <f t="shared" ca="1" si="2"/>
        <v>45605</v>
      </c>
      <c r="E32" s="150" t="s">
        <v>164</v>
      </c>
      <c r="F32" s="71">
        <f t="shared" si="4"/>
        <v>192377.77777777778</v>
      </c>
      <c r="G32" s="107">
        <f t="shared" si="4"/>
        <v>8588.2936507936502</v>
      </c>
      <c r="H32" s="107">
        <f t="shared" si="3"/>
        <v>200966.07142857142</v>
      </c>
      <c r="I32" s="76">
        <f t="shared" si="1"/>
        <v>15273421.428571429</v>
      </c>
      <c r="J32" s="53"/>
      <c r="K32" s="33"/>
      <c r="L32" s="38"/>
      <c r="M32" s="39"/>
      <c r="N32" s="33"/>
    </row>
    <row r="33" spans="2:14" x14ac:dyDescent="0.2">
      <c r="B33" s="290">
        <f t="shared" si="0"/>
        <v>9</v>
      </c>
      <c r="C33" s="265"/>
      <c r="D33" s="70">
        <f t="shared" ca="1" si="2"/>
        <v>45635</v>
      </c>
      <c r="E33" s="150" t="s">
        <v>165</v>
      </c>
      <c r="F33" s="71">
        <f t="shared" si="4"/>
        <v>192377.77777777778</v>
      </c>
      <c r="G33" s="107">
        <f t="shared" si="4"/>
        <v>8588.2936507936502</v>
      </c>
      <c r="H33" s="107">
        <f t="shared" si="3"/>
        <v>200966.07142857142</v>
      </c>
      <c r="I33" s="76">
        <f t="shared" si="1"/>
        <v>15072455.357142858</v>
      </c>
      <c r="J33" s="53"/>
      <c r="K33" s="33"/>
      <c r="L33" s="38"/>
      <c r="M33" s="39"/>
      <c r="N33" s="33"/>
    </row>
    <row r="34" spans="2:14" x14ac:dyDescent="0.2">
      <c r="B34" s="290">
        <f t="shared" si="0"/>
        <v>10</v>
      </c>
      <c r="C34" s="265"/>
      <c r="D34" s="70">
        <f t="shared" ca="1" si="2"/>
        <v>45666</v>
      </c>
      <c r="E34" s="150" t="s">
        <v>166</v>
      </c>
      <c r="F34" s="71">
        <f t="shared" si="4"/>
        <v>192377.77777777778</v>
      </c>
      <c r="G34" s="107">
        <f t="shared" si="4"/>
        <v>8588.2936507936502</v>
      </c>
      <c r="H34" s="107">
        <f t="shared" si="3"/>
        <v>200966.07142857142</v>
      </c>
      <c r="I34" s="76">
        <f t="shared" si="1"/>
        <v>14871489.285714287</v>
      </c>
      <c r="J34" s="53"/>
      <c r="K34" s="33"/>
      <c r="L34" s="38"/>
      <c r="M34" s="39"/>
      <c r="N34" s="33"/>
    </row>
    <row r="35" spans="2:14" x14ac:dyDescent="0.2">
      <c r="B35" s="290">
        <f t="shared" si="0"/>
        <v>11</v>
      </c>
      <c r="C35" s="265"/>
      <c r="D35" s="70">
        <f t="shared" ca="1" si="2"/>
        <v>45697</v>
      </c>
      <c r="E35" s="150" t="s">
        <v>167</v>
      </c>
      <c r="F35" s="71">
        <f t="shared" si="4"/>
        <v>192377.77777777778</v>
      </c>
      <c r="G35" s="107">
        <f t="shared" si="4"/>
        <v>8588.2936507936502</v>
      </c>
      <c r="H35" s="107">
        <f t="shared" si="3"/>
        <v>200966.07142857142</v>
      </c>
      <c r="I35" s="76">
        <f t="shared" si="1"/>
        <v>14670523.214285716</v>
      </c>
      <c r="J35" s="53"/>
      <c r="K35" s="33"/>
      <c r="L35" s="38"/>
      <c r="M35" s="39"/>
      <c r="N35" s="33"/>
    </row>
    <row r="36" spans="2:14" x14ac:dyDescent="0.2">
      <c r="B36" s="290">
        <f t="shared" si="0"/>
        <v>12</v>
      </c>
      <c r="C36" s="265"/>
      <c r="D36" s="70">
        <f t="shared" ca="1" si="2"/>
        <v>45725</v>
      </c>
      <c r="E36" s="150" t="s">
        <v>168</v>
      </c>
      <c r="F36" s="71">
        <f t="shared" si="4"/>
        <v>192377.77777777778</v>
      </c>
      <c r="G36" s="107">
        <f t="shared" si="4"/>
        <v>8588.2936507936502</v>
      </c>
      <c r="H36" s="107">
        <f t="shared" si="3"/>
        <v>200966.07142857142</v>
      </c>
      <c r="I36" s="76">
        <f t="shared" si="1"/>
        <v>14469557.142857146</v>
      </c>
      <c r="J36" s="53"/>
      <c r="K36" s="33"/>
      <c r="L36" s="38"/>
      <c r="M36" s="39"/>
      <c r="N36" s="33"/>
    </row>
    <row r="37" spans="2:14" x14ac:dyDescent="0.2">
      <c r="B37" s="290">
        <f t="shared" si="0"/>
        <v>13</v>
      </c>
      <c r="C37" s="265"/>
      <c r="D37" s="70">
        <f t="shared" ca="1" si="2"/>
        <v>45756</v>
      </c>
      <c r="E37" s="150" t="s">
        <v>169</v>
      </c>
      <c r="F37" s="71">
        <f t="shared" si="4"/>
        <v>192377.77777777778</v>
      </c>
      <c r="G37" s="107">
        <f t="shared" si="4"/>
        <v>8588.2936507936502</v>
      </c>
      <c r="H37" s="107">
        <f t="shared" si="3"/>
        <v>200966.07142857142</v>
      </c>
      <c r="I37" s="76">
        <f t="shared" si="1"/>
        <v>14268591.071428575</v>
      </c>
      <c r="J37" s="53"/>
      <c r="K37" s="33"/>
      <c r="L37" s="38"/>
      <c r="M37" s="39"/>
      <c r="N37" s="33"/>
    </row>
    <row r="38" spans="2:14" x14ac:dyDescent="0.2">
      <c r="B38" s="290">
        <f t="shared" si="0"/>
        <v>14</v>
      </c>
      <c r="C38" s="265"/>
      <c r="D38" s="70">
        <f t="shared" ca="1" si="2"/>
        <v>45786</v>
      </c>
      <c r="E38" s="150" t="s">
        <v>170</v>
      </c>
      <c r="F38" s="71">
        <f t="shared" si="4"/>
        <v>192377.77777777778</v>
      </c>
      <c r="G38" s="107">
        <f t="shared" si="4"/>
        <v>8588.2936507936502</v>
      </c>
      <c r="H38" s="107">
        <f t="shared" si="3"/>
        <v>200966.07142857142</v>
      </c>
      <c r="I38" s="76">
        <f t="shared" si="1"/>
        <v>14067625.000000004</v>
      </c>
      <c r="J38" s="53"/>
      <c r="K38" s="33"/>
      <c r="L38" s="38"/>
      <c r="M38" s="39"/>
      <c r="N38" s="33"/>
    </row>
    <row r="39" spans="2:14" x14ac:dyDescent="0.2">
      <c r="B39" s="290">
        <f t="shared" si="0"/>
        <v>15</v>
      </c>
      <c r="C39" s="265"/>
      <c r="D39" s="70">
        <f t="shared" ca="1" si="2"/>
        <v>45817</v>
      </c>
      <c r="E39" s="150" t="s">
        <v>171</v>
      </c>
      <c r="F39" s="71">
        <f t="shared" si="4"/>
        <v>192377.77777777778</v>
      </c>
      <c r="G39" s="107">
        <f t="shared" si="4"/>
        <v>8588.2936507936502</v>
      </c>
      <c r="H39" s="107">
        <f t="shared" si="3"/>
        <v>200966.07142857142</v>
      </c>
      <c r="I39" s="76">
        <f t="shared" si="1"/>
        <v>13866658.928571433</v>
      </c>
      <c r="J39" s="53"/>
      <c r="K39" s="33"/>
      <c r="L39" s="38"/>
      <c r="M39" s="39"/>
      <c r="N39" s="33"/>
    </row>
    <row r="40" spans="2:14" x14ac:dyDescent="0.2">
      <c r="B40" s="290">
        <f t="shared" si="0"/>
        <v>16</v>
      </c>
      <c r="C40" s="265"/>
      <c r="D40" s="70">
        <f t="shared" ca="1" si="2"/>
        <v>45847</v>
      </c>
      <c r="E40" s="150" t="s">
        <v>172</v>
      </c>
      <c r="F40" s="71">
        <f t="shared" si="4"/>
        <v>192377.77777777778</v>
      </c>
      <c r="G40" s="107">
        <f t="shared" si="4"/>
        <v>8588.2936507936502</v>
      </c>
      <c r="H40" s="107">
        <f t="shared" si="3"/>
        <v>200966.07142857142</v>
      </c>
      <c r="I40" s="76">
        <f t="shared" si="1"/>
        <v>13665692.857142862</v>
      </c>
      <c r="J40" s="53"/>
      <c r="K40" s="33"/>
      <c r="L40" s="38"/>
      <c r="M40" s="39"/>
      <c r="N40" s="33"/>
    </row>
    <row r="41" spans="2:14" x14ac:dyDescent="0.2">
      <c r="B41" s="290">
        <f t="shared" si="0"/>
        <v>17</v>
      </c>
      <c r="C41" s="265"/>
      <c r="D41" s="70">
        <f t="shared" ca="1" si="2"/>
        <v>45878</v>
      </c>
      <c r="E41" s="150" t="s">
        <v>173</v>
      </c>
      <c r="F41" s="71">
        <f t="shared" si="4"/>
        <v>192377.77777777778</v>
      </c>
      <c r="G41" s="107">
        <f t="shared" si="4"/>
        <v>8588.2936507936502</v>
      </c>
      <c r="H41" s="107">
        <f t="shared" si="3"/>
        <v>200966.07142857142</v>
      </c>
      <c r="I41" s="76">
        <f t="shared" si="1"/>
        <v>13464726.785714291</v>
      </c>
      <c r="J41" s="53"/>
      <c r="K41" s="33"/>
      <c r="L41" s="38"/>
      <c r="M41" s="39"/>
      <c r="N41" s="33"/>
    </row>
    <row r="42" spans="2:14" x14ac:dyDescent="0.2">
      <c r="B42" s="290">
        <f t="shared" si="0"/>
        <v>18</v>
      </c>
      <c r="C42" s="265"/>
      <c r="D42" s="70">
        <f t="shared" ca="1" si="2"/>
        <v>45909</v>
      </c>
      <c r="E42" s="150" t="s">
        <v>174</v>
      </c>
      <c r="F42" s="71">
        <f t="shared" si="4"/>
        <v>192377.77777777778</v>
      </c>
      <c r="G42" s="107">
        <f t="shared" si="4"/>
        <v>8588.2936507936502</v>
      </c>
      <c r="H42" s="107">
        <f t="shared" si="3"/>
        <v>200966.07142857142</v>
      </c>
      <c r="I42" s="76">
        <f t="shared" si="1"/>
        <v>13263760.71428572</v>
      </c>
      <c r="J42" s="53"/>
      <c r="K42" s="33"/>
      <c r="L42" s="38"/>
      <c r="M42" s="39"/>
      <c r="N42" s="33"/>
    </row>
    <row r="43" spans="2:14" x14ac:dyDescent="0.2">
      <c r="B43" s="290">
        <f t="shared" si="0"/>
        <v>19</v>
      </c>
      <c r="C43" s="265"/>
      <c r="D43" s="70">
        <f t="shared" ca="1" si="2"/>
        <v>45939</v>
      </c>
      <c r="E43" s="150" t="s">
        <v>175</v>
      </c>
      <c r="F43" s="71">
        <f t="shared" si="4"/>
        <v>192377.77777777778</v>
      </c>
      <c r="G43" s="107">
        <f t="shared" si="4"/>
        <v>8588.2936507936502</v>
      </c>
      <c r="H43" s="107">
        <f t="shared" si="3"/>
        <v>200966.07142857142</v>
      </c>
      <c r="I43" s="76">
        <f t="shared" si="1"/>
        <v>13062794.642857149</v>
      </c>
      <c r="J43" s="53"/>
      <c r="K43" s="33"/>
      <c r="L43" s="38"/>
      <c r="M43" s="39"/>
      <c r="N43" s="33"/>
    </row>
    <row r="44" spans="2:14" x14ac:dyDescent="0.2">
      <c r="B44" s="290">
        <f t="shared" si="0"/>
        <v>20</v>
      </c>
      <c r="C44" s="265"/>
      <c r="D44" s="70">
        <f t="shared" ca="1" si="2"/>
        <v>45970</v>
      </c>
      <c r="E44" s="150" t="s">
        <v>176</v>
      </c>
      <c r="F44" s="71">
        <f t="shared" ref="F44:G59" si="5">F43</f>
        <v>192377.77777777778</v>
      </c>
      <c r="G44" s="107">
        <f t="shared" si="5"/>
        <v>8588.2936507936502</v>
      </c>
      <c r="H44" s="107">
        <f t="shared" si="3"/>
        <v>200966.07142857142</v>
      </c>
      <c r="I44" s="76">
        <f t="shared" si="1"/>
        <v>12861828.571428578</v>
      </c>
      <c r="J44" s="53"/>
      <c r="K44" s="33"/>
      <c r="L44" s="38"/>
      <c r="M44" s="39"/>
      <c r="N44" s="33"/>
    </row>
    <row r="45" spans="2:14" x14ac:dyDescent="0.2">
      <c r="B45" s="290">
        <f t="shared" si="0"/>
        <v>21</v>
      </c>
      <c r="C45" s="265"/>
      <c r="D45" s="70">
        <f t="shared" ca="1" si="2"/>
        <v>46000</v>
      </c>
      <c r="E45" s="150" t="s">
        <v>177</v>
      </c>
      <c r="F45" s="71">
        <f t="shared" si="5"/>
        <v>192377.77777777778</v>
      </c>
      <c r="G45" s="107">
        <f t="shared" si="5"/>
        <v>8588.2936507936502</v>
      </c>
      <c r="H45" s="107">
        <f t="shared" si="3"/>
        <v>200966.07142857142</v>
      </c>
      <c r="I45" s="76">
        <f t="shared" si="1"/>
        <v>12660862.500000007</v>
      </c>
      <c r="J45" s="53"/>
      <c r="K45" s="33"/>
      <c r="L45" s="38"/>
      <c r="M45" s="39"/>
      <c r="N45" s="33"/>
    </row>
    <row r="46" spans="2:14" x14ac:dyDescent="0.2">
      <c r="B46" s="290">
        <f t="shared" si="0"/>
        <v>22</v>
      </c>
      <c r="C46" s="265"/>
      <c r="D46" s="70">
        <f t="shared" ca="1" si="2"/>
        <v>46031</v>
      </c>
      <c r="E46" s="150" t="s">
        <v>178</v>
      </c>
      <c r="F46" s="71">
        <f t="shared" si="5"/>
        <v>192377.77777777778</v>
      </c>
      <c r="G46" s="107">
        <f t="shared" si="5"/>
        <v>8588.2936507936502</v>
      </c>
      <c r="H46" s="107">
        <f t="shared" si="3"/>
        <v>200966.07142857142</v>
      </c>
      <c r="I46" s="76">
        <f t="shared" si="1"/>
        <v>12459896.428571437</v>
      </c>
      <c r="J46" s="53"/>
      <c r="K46" s="33"/>
      <c r="L46" s="38"/>
      <c r="M46" s="39"/>
      <c r="N46" s="33"/>
    </row>
    <row r="47" spans="2:14" x14ac:dyDescent="0.2">
      <c r="B47" s="290">
        <f t="shared" si="0"/>
        <v>23</v>
      </c>
      <c r="C47" s="265"/>
      <c r="D47" s="70">
        <f t="shared" ca="1" si="2"/>
        <v>46062</v>
      </c>
      <c r="E47" s="150" t="s">
        <v>179</v>
      </c>
      <c r="F47" s="71">
        <f t="shared" si="5"/>
        <v>192377.77777777778</v>
      </c>
      <c r="G47" s="107">
        <f t="shared" si="5"/>
        <v>8588.2936507936502</v>
      </c>
      <c r="H47" s="107">
        <f t="shared" si="3"/>
        <v>200966.07142857142</v>
      </c>
      <c r="I47" s="76">
        <f t="shared" si="1"/>
        <v>12258930.357142866</v>
      </c>
      <c r="J47" s="53"/>
      <c r="K47" s="33"/>
      <c r="L47" s="38"/>
      <c r="M47" s="39"/>
      <c r="N47" s="33"/>
    </row>
    <row r="48" spans="2:14" x14ac:dyDescent="0.2">
      <c r="B48" s="290">
        <f t="shared" si="0"/>
        <v>24</v>
      </c>
      <c r="C48" s="265"/>
      <c r="D48" s="70">
        <f t="shared" ca="1" si="2"/>
        <v>46090</v>
      </c>
      <c r="E48" s="150" t="s">
        <v>180</v>
      </c>
      <c r="F48" s="71">
        <f t="shared" si="5"/>
        <v>192377.77777777778</v>
      </c>
      <c r="G48" s="107">
        <f t="shared" si="5"/>
        <v>8588.2936507936502</v>
      </c>
      <c r="H48" s="107">
        <f t="shared" si="3"/>
        <v>200966.07142857142</v>
      </c>
      <c r="I48" s="76">
        <f t="shared" si="1"/>
        <v>12057964.285714295</v>
      </c>
      <c r="J48" s="53"/>
      <c r="K48" s="33"/>
      <c r="L48" s="38"/>
      <c r="M48" s="39"/>
      <c r="N48" s="33"/>
    </row>
    <row r="49" spans="2:14" x14ac:dyDescent="0.2">
      <c r="B49" s="290">
        <f t="shared" si="0"/>
        <v>25</v>
      </c>
      <c r="C49" s="265"/>
      <c r="D49" s="70">
        <f t="shared" ca="1" si="2"/>
        <v>46121</v>
      </c>
      <c r="E49" s="150" t="s">
        <v>181</v>
      </c>
      <c r="F49" s="71">
        <f t="shared" si="5"/>
        <v>192377.77777777778</v>
      </c>
      <c r="G49" s="107">
        <f t="shared" si="5"/>
        <v>8588.2936507936502</v>
      </c>
      <c r="H49" s="107">
        <f t="shared" si="3"/>
        <v>200966.07142857142</v>
      </c>
      <c r="I49" s="76">
        <f t="shared" si="1"/>
        <v>11856998.214285724</v>
      </c>
      <c r="J49" s="53"/>
      <c r="K49" s="33"/>
      <c r="L49" s="38"/>
      <c r="M49" s="39"/>
      <c r="N49" s="33"/>
    </row>
    <row r="50" spans="2:14" x14ac:dyDescent="0.2">
      <c r="B50" s="290">
        <f t="shared" si="0"/>
        <v>26</v>
      </c>
      <c r="C50" s="265"/>
      <c r="D50" s="70">
        <f t="shared" ca="1" si="2"/>
        <v>46151</v>
      </c>
      <c r="E50" s="150" t="s">
        <v>182</v>
      </c>
      <c r="F50" s="71">
        <f t="shared" si="5"/>
        <v>192377.77777777778</v>
      </c>
      <c r="G50" s="107">
        <f t="shared" si="5"/>
        <v>8588.2936507936502</v>
      </c>
      <c r="H50" s="107">
        <f t="shared" si="3"/>
        <v>200966.07142857142</v>
      </c>
      <c r="I50" s="76">
        <f t="shared" si="1"/>
        <v>11656032.142857153</v>
      </c>
      <c r="J50" s="53"/>
      <c r="K50" s="33"/>
      <c r="L50" s="38"/>
      <c r="M50" s="39"/>
      <c r="N50" s="33"/>
    </row>
    <row r="51" spans="2:14" x14ac:dyDescent="0.2">
      <c r="B51" s="290">
        <f t="shared" si="0"/>
        <v>27</v>
      </c>
      <c r="C51" s="265"/>
      <c r="D51" s="70">
        <f t="shared" ca="1" si="2"/>
        <v>46182</v>
      </c>
      <c r="E51" s="150" t="s">
        <v>183</v>
      </c>
      <c r="F51" s="71">
        <f t="shared" si="5"/>
        <v>192377.77777777778</v>
      </c>
      <c r="G51" s="107">
        <f t="shared" si="5"/>
        <v>8588.2936507936502</v>
      </c>
      <c r="H51" s="107">
        <f t="shared" si="3"/>
        <v>200966.07142857142</v>
      </c>
      <c r="I51" s="76">
        <f t="shared" si="1"/>
        <v>11455066.071428582</v>
      </c>
      <c r="J51" s="53"/>
      <c r="K51" s="33"/>
      <c r="L51" s="38"/>
      <c r="M51" s="39"/>
      <c r="N51" s="33"/>
    </row>
    <row r="52" spans="2:14" x14ac:dyDescent="0.2">
      <c r="B52" s="290">
        <f t="shared" si="0"/>
        <v>28</v>
      </c>
      <c r="C52" s="265"/>
      <c r="D52" s="70">
        <f t="shared" ca="1" si="2"/>
        <v>46212</v>
      </c>
      <c r="E52" s="150" t="s">
        <v>184</v>
      </c>
      <c r="F52" s="71">
        <f t="shared" si="5"/>
        <v>192377.77777777778</v>
      </c>
      <c r="G52" s="107">
        <f t="shared" si="5"/>
        <v>8588.2936507936502</v>
      </c>
      <c r="H52" s="107">
        <f t="shared" si="3"/>
        <v>200966.07142857142</v>
      </c>
      <c r="I52" s="76">
        <f t="shared" si="1"/>
        <v>11254100.000000011</v>
      </c>
      <c r="J52" s="53"/>
      <c r="K52" s="33"/>
      <c r="L52" s="38"/>
      <c r="M52" s="39"/>
      <c r="N52" s="33"/>
    </row>
    <row r="53" spans="2:14" x14ac:dyDescent="0.2">
      <c r="B53" s="290">
        <f t="shared" si="0"/>
        <v>29</v>
      </c>
      <c r="C53" s="265"/>
      <c r="D53" s="70">
        <f t="shared" ca="1" si="2"/>
        <v>46243</v>
      </c>
      <c r="E53" s="150" t="s">
        <v>185</v>
      </c>
      <c r="F53" s="71">
        <f t="shared" si="5"/>
        <v>192377.77777777778</v>
      </c>
      <c r="G53" s="107">
        <f t="shared" si="5"/>
        <v>8588.2936507936502</v>
      </c>
      <c r="H53" s="107">
        <f t="shared" si="3"/>
        <v>200966.07142857142</v>
      </c>
      <c r="I53" s="76">
        <f t="shared" si="1"/>
        <v>11053133.92857144</v>
      </c>
      <c r="J53" s="53"/>
      <c r="K53" s="33"/>
      <c r="L53" s="38"/>
      <c r="M53" s="39"/>
      <c r="N53" s="33"/>
    </row>
    <row r="54" spans="2:14" x14ac:dyDescent="0.2">
      <c r="B54" s="290">
        <f t="shared" si="0"/>
        <v>30</v>
      </c>
      <c r="C54" s="265"/>
      <c r="D54" s="70">
        <f t="shared" ca="1" si="2"/>
        <v>46274</v>
      </c>
      <c r="E54" s="150" t="s">
        <v>186</v>
      </c>
      <c r="F54" s="71">
        <f t="shared" si="5"/>
        <v>192377.77777777778</v>
      </c>
      <c r="G54" s="107">
        <f t="shared" si="5"/>
        <v>8588.2936507936502</v>
      </c>
      <c r="H54" s="107">
        <f t="shared" si="3"/>
        <v>200966.07142857142</v>
      </c>
      <c r="I54" s="76">
        <f t="shared" si="1"/>
        <v>10852167.857142869</v>
      </c>
      <c r="J54" s="53"/>
      <c r="K54" s="33"/>
      <c r="L54" s="38"/>
      <c r="M54" s="39"/>
      <c r="N54" s="33"/>
    </row>
    <row r="55" spans="2:14" x14ac:dyDescent="0.2">
      <c r="B55" s="290">
        <f t="shared" si="0"/>
        <v>31</v>
      </c>
      <c r="C55" s="265"/>
      <c r="D55" s="70">
        <f t="shared" ca="1" si="2"/>
        <v>46304</v>
      </c>
      <c r="E55" s="150" t="s">
        <v>187</v>
      </c>
      <c r="F55" s="71">
        <f t="shared" si="5"/>
        <v>192377.77777777778</v>
      </c>
      <c r="G55" s="107">
        <f t="shared" si="5"/>
        <v>8588.2936507936502</v>
      </c>
      <c r="H55" s="107">
        <f t="shared" si="3"/>
        <v>200966.07142857142</v>
      </c>
      <c r="I55" s="76">
        <f t="shared" si="1"/>
        <v>10651201.785714298</v>
      </c>
      <c r="J55" s="53"/>
      <c r="K55" s="33"/>
      <c r="L55" s="38"/>
      <c r="M55" s="39"/>
      <c r="N55" s="33"/>
    </row>
    <row r="56" spans="2:14" x14ac:dyDescent="0.2">
      <c r="B56" s="290">
        <f t="shared" si="0"/>
        <v>32</v>
      </c>
      <c r="C56" s="265"/>
      <c r="D56" s="70">
        <f t="shared" ca="1" si="2"/>
        <v>46335</v>
      </c>
      <c r="E56" s="150" t="s">
        <v>188</v>
      </c>
      <c r="F56" s="71">
        <f t="shared" si="5"/>
        <v>192377.77777777778</v>
      </c>
      <c r="G56" s="107">
        <f t="shared" si="5"/>
        <v>8588.2936507936502</v>
      </c>
      <c r="H56" s="107">
        <f t="shared" si="3"/>
        <v>200966.07142857142</v>
      </c>
      <c r="I56" s="76">
        <f t="shared" si="1"/>
        <v>10450235.714285728</v>
      </c>
      <c r="J56" s="53"/>
      <c r="K56" s="33"/>
      <c r="L56" s="38"/>
      <c r="M56" s="39"/>
      <c r="N56" s="33"/>
    </row>
    <row r="57" spans="2:14" x14ac:dyDescent="0.2">
      <c r="B57" s="290">
        <f t="shared" si="0"/>
        <v>33</v>
      </c>
      <c r="C57" s="265"/>
      <c r="D57" s="70">
        <f t="shared" ca="1" si="2"/>
        <v>46365</v>
      </c>
      <c r="E57" s="150" t="s">
        <v>189</v>
      </c>
      <c r="F57" s="71">
        <f t="shared" si="5"/>
        <v>192377.77777777778</v>
      </c>
      <c r="G57" s="107">
        <f t="shared" si="5"/>
        <v>8588.2936507936502</v>
      </c>
      <c r="H57" s="107">
        <f t="shared" si="3"/>
        <v>200966.07142857142</v>
      </c>
      <c r="I57" s="76">
        <f t="shared" si="1"/>
        <v>10249269.642857157</v>
      </c>
      <c r="J57" s="53"/>
      <c r="K57" s="33"/>
      <c r="L57" s="38"/>
      <c r="M57" s="39"/>
      <c r="N57" s="33"/>
    </row>
    <row r="58" spans="2:14" x14ac:dyDescent="0.2">
      <c r="B58" s="290">
        <f t="shared" si="0"/>
        <v>34</v>
      </c>
      <c r="C58" s="265"/>
      <c r="D58" s="70">
        <f t="shared" ca="1" si="2"/>
        <v>46396</v>
      </c>
      <c r="E58" s="150" t="s">
        <v>190</v>
      </c>
      <c r="F58" s="71">
        <f t="shared" si="5"/>
        <v>192377.77777777778</v>
      </c>
      <c r="G58" s="107">
        <f t="shared" si="5"/>
        <v>8588.2936507936502</v>
      </c>
      <c r="H58" s="107">
        <f t="shared" si="3"/>
        <v>200966.07142857142</v>
      </c>
      <c r="I58" s="76">
        <f t="shared" si="1"/>
        <v>10048303.571428586</v>
      </c>
      <c r="J58" s="53"/>
      <c r="K58" s="33"/>
      <c r="L58" s="38"/>
      <c r="M58" s="39"/>
      <c r="N58" s="33"/>
    </row>
    <row r="59" spans="2:14" x14ac:dyDescent="0.2">
      <c r="B59" s="290">
        <f t="shared" si="0"/>
        <v>35</v>
      </c>
      <c r="C59" s="265"/>
      <c r="D59" s="70">
        <f t="shared" ca="1" si="2"/>
        <v>46427</v>
      </c>
      <c r="E59" s="150" t="s">
        <v>191</v>
      </c>
      <c r="F59" s="71">
        <f t="shared" si="5"/>
        <v>192377.77777777778</v>
      </c>
      <c r="G59" s="107">
        <f t="shared" si="5"/>
        <v>8588.2936507936502</v>
      </c>
      <c r="H59" s="107">
        <f t="shared" si="3"/>
        <v>200966.07142857142</v>
      </c>
      <c r="I59" s="76">
        <f t="shared" si="1"/>
        <v>9847337.5000000149</v>
      </c>
      <c r="J59" s="53"/>
      <c r="K59" s="33"/>
      <c r="L59" s="38"/>
      <c r="M59" s="39"/>
      <c r="N59" s="33"/>
    </row>
    <row r="60" spans="2:14" x14ac:dyDescent="0.2">
      <c r="B60" s="290">
        <f t="shared" si="0"/>
        <v>36</v>
      </c>
      <c r="C60" s="265"/>
      <c r="D60" s="70">
        <f t="shared" ca="1" si="2"/>
        <v>46455</v>
      </c>
      <c r="E60" s="150" t="s">
        <v>192</v>
      </c>
      <c r="F60" s="71">
        <f t="shared" ref="F60:G63" si="6">F59</f>
        <v>192377.77777777778</v>
      </c>
      <c r="G60" s="107">
        <f t="shared" si="6"/>
        <v>8588.2936507936502</v>
      </c>
      <c r="H60" s="107">
        <f t="shared" si="3"/>
        <v>200966.07142857142</v>
      </c>
      <c r="I60" s="76">
        <f t="shared" si="1"/>
        <v>9646371.428571444</v>
      </c>
      <c r="J60" s="53"/>
      <c r="K60" s="33"/>
      <c r="L60" s="38"/>
      <c r="M60" s="39"/>
      <c r="N60" s="33"/>
    </row>
    <row r="61" spans="2:14" x14ac:dyDescent="0.2">
      <c r="B61" s="290">
        <f t="shared" si="0"/>
        <v>37</v>
      </c>
      <c r="C61" s="265"/>
      <c r="D61" s="70">
        <f t="shared" ca="1" si="2"/>
        <v>46486</v>
      </c>
      <c r="E61" s="150" t="s">
        <v>193</v>
      </c>
      <c r="F61" s="71">
        <f t="shared" si="6"/>
        <v>192377.77777777778</v>
      </c>
      <c r="G61" s="107">
        <f t="shared" si="6"/>
        <v>8588.2936507936502</v>
      </c>
      <c r="H61" s="107">
        <f t="shared" si="3"/>
        <v>200966.07142857142</v>
      </c>
      <c r="I61" s="76">
        <f t="shared" si="1"/>
        <v>9445405.3571428731</v>
      </c>
      <c r="J61" s="53"/>
      <c r="K61" s="33"/>
      <c r="L61" s="38"/>
      <c r="M61" s="39"/>
      <c r="N61" s="33"/>
    </row>
    <row r="62" spans="2:14" x14ac:dyDescent="0.2">
      <c r="B62" s="290">
        <f t="shared" si="0"/>
        <v>38</v>
      </c>
      <c r="C62" s="265"/>
      <c r="D62" s="70">
        <f t="shared" ca="1" si="2"/>
        <v>46516</v>
      </c>
      <c r="E62" s="150" t="s">
        <v>194</v>
      </c>
      <c r="F62" s="71">
        <f t="shared" si="6"/>
        <v>192377.77777777778</v>
      </c>
      <c r="G62" s="107">
        <f t="shared" si="6"/>
        <v>8588.2936507936502</v>
      </c>
      <c r="H62" s="108">
        <f>SUM(F62:G62)</f>
        <v>200966.07142857142</v>
      </c>
      <c r="I62" s="76">
        <f t="shared" si="1"/>
        <v>9244439.2857143022</v>
      </c>
      <c r="J62" s="53"/>
      <c r="K62" s="33"/>
      <c r="L62" s="38"/>
      <c r="M62" s="39"/>
      <c r="N62" s="33"/>
    </row>
    <row r="63" spans="2:14" x14ac:dyDescent="0.2">
      <c r="B63" s="290">
        <f t="shared" si="0"/>
        <v>39</v>
      </c>
      <c r="C63" s="265"/>
      <c r="D63" s="70">
        <f t="shared" ca="1" si="2"/>
        <v>46547</v>
      </c>
      <c r="E63" s="150" t="s">
        <v>195</v>
      </c>
      <c r="F63" s="71">
        <f t="shared" si="6"/>
        <v>192377.77777777778</v>
      </c>
      <c r="G63" s="107">
        <f t="shared" si="6"/>
        <v>8588.2936507936502</v>
      </c>
      <c r="H63" s="108">
        <f t="shared" ref="H63" si="7">SUM(F63:G63)</f>
        <v>200966.07142857142</v>
      </c>
      <c r="I63" s="76">
        <f t="shared" si="1"/>
        <v>9043473.2142857313</v>
      </c>
      <c r="J63" s="53"/>
      <c r="K63" s="33"/>
      <c r="L63" s="38"/>
      <c r="M63" s="39"/>
      <c r="N63" s="33"/>
    </row>
    <row r="64" spans="2:14" ht="15.75" thickBot="1" x14ac:dyDescent="0.25">
      <c r="B64" s="290">
        <f t="shared" si="0"/>
        <v>40</v>
      </c>
      <c r="C64" s="265"/>
      <c r="D64" s="70">
        <f t="shared" ca="1" si="2"/>
        <v>46577</v>
      </c>
      <c r="E64" s="150" t="s">
        <v>143</v>
      </c>
      <c r="F64" s="100">
        <f>(D15-SUM(D16:D18))*50%</f>
        <v>8657000</v>
      </c>
      <c r="G64" s="100">
        <f>D19*50%</f>
        <v>386473.21428571426</v>
      </c>
      <c r="H64" s="108">
        <f>SUM(F64:G64)</f>
        <v>9043473.2142857146</v>
      </c>
      <c r="I64" s="76">
        <f t="shared" si="1"/>
        <v>1.6763806343078613E-8</v>
      </c>
      <c r="J64" s="53"/>
      <c r="K64" s="33"/>
      <c r="L64" s="38"/>
      <c r="M64" s="39"/>
      <c r="N64" s="33"/>
    </row>
    <row r="65" spans="2:18" ht="15.75" thickBot="1" x14ac:dyDescent="0.25">
      <c r="B65" s="54"/>
      <c r="C65" s="55"/>
      <c r="D65" s="56"/>
      <c r="E65" s="57" t="s">
        <v>81</v>
      </c>
      <c r="F65" s="58">
        <f>SUM(F23:F64)</f>
        <v>17314000.000000007</v>
      </c>
      <c r="G65" s="58">
        <f>SUM(G25:G64)</f>
        <v>772946.42857142864</v>
      </c>
      <c r="H65" s="58">
        <f>SUM(H23:H64)</f>
        <v>18086946.428571433</v>
      </c>
      <c r="I65" s="59"/>
      <c r="J65" s="33"/>
      <c r="K65" s="33"/>
      <c r="L65" s="38">
        <f>SUM(L23:L62)</f>
        <v>56000</v>
      </c>
      <c r="M65" s="39">
        <f>L65-F65</f>
        <v>-17258000.000000007</v>
      </c>
      <c r="N65" s="33"/>
    </row>
    <row r="66" spans="2:18" x14ac:dyDescent="0.2">
      <c r="D66" s="60"/>
      <c r="L66" s="61"/>
    </row>
    <row r="67" spans="2:18" x14ac:dyDescent="0.2">
      <c r="B67" s="62" t="s">
        <v>82</v>
      </c>
      <c r="C67" s="62"/>
      <c r="D67" s="60"/>
      <c r="M67" s="33"/>
      <c r="N67" s="38"/>
      <c r="O67" s="33"/>
      <c r="P67" s="33"/>
      <c r="Q67" s="65"/>
      <c r="R67" s="65"/>
    </row>
    <row r="68" spans="2:18" ht="15" customHeight="1" x14ac:dyDescent="0.2">
      <c r="B68" s="261" t="s">
        <v>266</v>
      </c>
      <c r="C68" s="261"/>
      <c r="D68" s="261"/>
      <c r="E68" s="261"/>
      <c r="F68" s="261"/>
      <c r="G68" s="261"/>
      <c r="H68" s="261"/>
      <c r="I68" s="261"/>
      <c r="J68" s="111"/>
      <c r="K68" s="111"/>
      <c r="M68" s="33"/>
      <c r="N68" s="33"/>
      <c r="O68" s="33"/>
      <c r="P68" s="33"/>
      <c r="Q68" s="65"/>
      <c r="R68" s="65"/>
    </row>
    <row r="69" spans="2:18" ht="15" customHeight="1" x14ac:dyDescent="0.2">
      <c r="B69" s="261"/>
      <c r="C69" s="261"/>
      <c r="D69" s="261"/>
      <c r="E69" s="261"/>
      <c r="F69" s="261"/>
      <c r="G69" s="261"/>
      <c r="H69" s="261"/>
      <c r="I69" s="261"/>
      <c r="J69" s="260"/>
      <c r="K69" s="260"/>
      <c r="M69" s="33"/>
      <c r="N69" s="33"/>
      <c r="O69" s="33"/>
      <c r="P69" s="33"/>
      <c r="Q69" s="65"/>
      <c r="R69" s="65"/>
    </row>
    <row r="70" spans="2:18" ht="15" customHeight="1" x14ac:dyDescent="0.2">
      <c r="B70" s="261"/>
      <c r="C70" s="261"/>
      <c r="D70" s="261"/>
      <c r="E70" s="261"/>
      <c r="F70" s="261"/>
      <c r="G70" s="261"/>
      <c r="H70" s="261"/>
      <c r="I70" s="261"/>
      <c r="J70" s="260"/>
      <c r="K70" s="260"/>
      <c r="M70" s="33"/>
      <c r="N70" s="33"/>
      <c r="O70" s="33"/>
      <c r="P70" s="33"/>
      <c r="Q70" s="65"/>
      <c r="R70" s="65"/>
    </row>
    <row r="71" spans="2:18" x14ac:dyDescent="0.2">
      <c r="B71" s="261"/>
      <c r="C71" s="261"/>
      <c r="D71" s="261"/>
      <c r="E71" s="261"/>
      <c r="F71" s="261"/>
      <c r="G71" s="261"/>
      <c r="H71" s="261"/>
      <c r="I71" s="261"/>
      <c r="J71" s="260"/>
      <c r="K71" s="260"/>
      <c r="M71" s="33"/>
      <c r="N71" s="33"/>
      <c r="O71" s="33"/>
      <c r="P71" s="33"/>
      <c r="Q71" s="65"/>
      <c r="R71" s="65"/>
    </row>
    <row r="72" spans="2:18" ht="58.5" customHeight="1" x14ac:dyDescent="0.2">
      <c r="B72" s="261"/>
      <c r="C72" s="261"/>
      <c r="D72" s="261"/>
      <c r="E72" s="261"/>
      <c r="F72" s="261"/>
      <c r="G72" s="261"/>
      <c r="H72" s="261"/>
      <c r="I72" s="261"/>
      <c r="J72" s="260"/>
      <c r="K72" s="260"/>
      <c r="M72" s="33"/>
      <c r="N72" s="33"/>
      <c r="O72" s="33"/>
      <c r="P72" s="33"/>
      <c r="Q72" s="65"/>
      <c r="R72" s="65"/>
    </row>
    <row r="73" spans="2:18" ht="6.75" hidden="1" customHeight="1" x14ac:dyDescent="0.2">
      <c r="B73" s="261"/>
      <c r="C73" s="261"/>
      <c r="D73" s="261"/>
      <c r="E73" s="261"/>
      <c r="F73" s="261"/>
      <c r="G73" s="261"/>
      <c r="H73" s="261"/>
      <c r="I73" s="261"/>
      <c r="J73" s="260"/>
      <c r="K73" s="260"/>
      <c r="M73" s="33"/>
      <c r="N73" s="33"/>
      <c r="O73" s="33"/>
      <c r="P73" s="33"/>
      <c r="Q73" s="65"/>
      <c r="R73" s="65"/>
    </row>
    <row r="74" spans="2:18" ht="49.5" customHeight="1" x14ac:dyDescent="0.2">
      <c r="B74" s="261"/>
      <c r="C74" s="261"/>
      <c r="D74" s="261"/>
      <c r="E74" s="261"/>
      <c r="F74" s="261"/>
      <c r="G74" s="261"/>
      <c r="H74" s="261"/>
      <c r="I74" s="261"/>
      <c r="J74" s="260"/>
      <c r="K74" s="260"/>
      <c r="M74" s="33"/>
      <c r="N74" s="33"/>
      <c r="O74" s="33"/>
      <c r="P74" s="33"/>
      <c r="Q74" s="65"/>
      <c r="R74" s="65"/>
    </row>
    <row r="75" spans="2:18" ht="7.5" hidden="1" customHeight="1" x14ac:dyDescent="0.2">
      <c r="B75" s="261"/>
      <c r="C75" s="261"/>
      <c r="D75" s="261"/>
      <c r="E75" s="261"/>
      <c r="F75" s="261"/>
      <c r="G75" s="261"/>
      <c r="H75" s="261"/>
      <c r="I75" s="261"/>
      <c r="J75" s="260"/>
      <c r="K75" s="260"/>
      <c r="M75" s="33"/>
      <c r="N75" s="33"/>
      <c r="O75" s="33"/>
      <c r="P75" s="33"/>
      <c r="Q75" s="65"/>
      <c r="R75" s="65"/>
    </row>
    <row r="76" spans="2:18" ht="63" customHeight="1" x14ac:dyDescent="0.2">
      <c r="B76" s="261"/>
      <c r="C76" s="261"/>
      <c r="D76" s="261"/>
      <c r="E76" s="261"/>
      <c r="F76" s="261"/>
      <c r="G76" s="261"/>
      <c r="H76" s="261"/>
      <c r="I76" s="261"/>
      <c r="J76" s="260"/>
      <c r="K76" s="260"/>
      <c r="M76" s="33"/>
      <c r="N76" s="33"/>
      <c r="O76" s="33"/>
      <c r="P76" s="33"/>
      <c r="Q76" s="65"/>
      <c r="R76" s="65"/>
    </row>
    <row r="77" spans="2:18" hidden="1" x14ac:dyDescent="0.2">
      <c r="B77" s="63"/>
      <c r="C77" s="63"/>
      <c r="M77" s="33"/>
      <c r="N77" s="33"/>
      <c r="O77" s="33"/>
      <c r="P77" s="33"/>
      <c r="Q77" s="65"/>
      <c r="R77" s="65"/>
    </row>
    <row r="78" spans="2:18" hidden="1" x14ac:dyDescent="0.2">
      <c r="B78" s="64"/>
      <c r="C78" s="64"/>
      <c r="M78" s="33"/>
      <c r="N78" s="33"/>
      <c r="O78" s="33"/>
      <c r="P78" s="33"/>
      <c r="Q78" s="65"/>
      <c r="R78" s="65"/>
    </row>
    <row r="79" spans="2:18" hidden="1" x14ac:dyDescent="0.2">
      <c r="B79" s="64"/>
      <c r="C79" s="64"/>
      <c r="M79" s="33"/>
      <c r="N79" s="33"/>
      <c r="O79" s="33"/>
      <c r="P79" s="33"/>
      <c r="Q79" s="65"/>
      <c r="R79" s="65"/>
    </row>
    <row r="80" spans="2:18" hidden="1" x14ac:dyDescent="0.2">
      <c r="B80" s="64"/>
      <c r="C80" s="64"/>
      <c r="M80" s="33"/>
      <c r="N80" s="33"/>
      <c r="O80" s="33"/>
      <c r="P80" s="33"/>
      <c r="Q80" s="65"/>
      <c r="R80" s="65"/>
    </row>
    <row r="81" spans="1:28" hidden="1" x14ac:dyDescent="0.2">
      <c r="B81" s="64"/>
      <c r="C81" s="64"/>
      <c r="M81" s="33"/>
      <c r="N81" s="33"/>
      <c r="O81" s="33"/>
      <c r="P81" s="33"/>
      <c r="Q81" s="65"/>
      <c r="R81" s="65"/>
    </row>
    <row r="82" spans="1:28" s="65" customFormat="1" hidden="1" x14ac:dyDescent="0.2">
      <c r="A82" s="22"/>
      <c r="B82" s="64"/>
      <c r="C82" s="64"/>
      <c r="M82" s="33"/>
      <c r="N82" s="33"/>
      <c r="O82" s="33"/>
      <c r="P82" s="33"/>
    </row>
    <row r="83" spans="1:28" hidden="1" x14ac:dyDescent="0.2">
      <c r="M83" s="33"/>
      <c r="N83" s="33"/>
      <c r="O83" s="33"/>
      <c r="P83" s="33"/>
      <c r="Q83" s="65"/>
      <c r="R83" s="65"/>
    </row>
    <row r="84" spans="1:28" x14ac:dyDescent="0.2">
      <c r="B84" s="66" t="s">
        <v>84</v>
      </c>
      <c r="C84" s="66"/>
      <c r="M84" s="33"/>
      <c r="N84" s="33"/>
      <c r="O84" s="33"/>
      <c r="P84" s="33"/>
      <c r="Q84" s="65"/>
      <c r="R84" s="65"/>
    </row>
    <row r="85" spans="1:28" x14ac:dyDescent="0.2">
      <c r="M85" s="33"/>
      <c r="N85" s="33"/>
      <c r="O85" s="33"/>
      <c r="P85" s="33"/>
      <c r="Q85" s="65"/>
      <c r="R85" s="65"/>
    </row>
    <row r="86" spans="1:28" x14ac:dyDescent="0.2">
      <c r="M86" s="33"/>
      <c r="N86" s="33"/>
      <c r="O86" s="33"/>
      <c r="P86" s="33"/>
      <c r="Q86" s="65"/>
      <c r="R86" s="65"/>
    </row>
    <row r="87" spans="1:28" x14ac:dyDescent="0.2">
      <c r="B87" s="259" t="s">
        <v>85</v>
      </c>
      <c r="C87" s="259"/>
      <c r="D87" s="259"/>
      <c r="F87" s="259" t="s">
        <v>86</v>
      </c>
      <c r="G87" s="259"/>
      <c r="H87" s="259"/>
      <c r="I87" s="259"/>
      <c r="J87" s="259"/>
      <c r="K87" s="259"/>
      <c r="M87" s="33"/>
      <c r="N87" s="33"/>
      <c r="O87" s="33"/>
      <c r="P87" s="33"/>
      <c r="Q87" s="65"/>
      <c r="R87" s="65"/>
    </row>
    <row r="88" spans="1:28" x14ac:dyDescent="0.2">
      <c r="M88" s="33"/>
      <c r="N88" s="33"/>
      <c r="O88" s="33"/>
      <c r="P88" s="33"/>
      <c r="Q88" s="65"/>
      <c r="R88" s="65"/>
    </row>
    <row r="89" spans="1:28" x14ac:dyDescent="0.2">
      <c r="B89" s="67"/>
      <c r="C89" s="67"/>
      <c r="D89" s="67"/>
      <c r="E89" s="67"/>
      <c r="F89" s="67"/>
      <c r="G89" s="67"/>
      <c r="H89" s="67"/>
      <c r="I89" s="67"/>
      <c r="J89" s="33"/>
      <c r="K89" s="33"/>
      <c r="L89" s="33"/>
      <c r="M89" s="33"/>
      <c r="N89" s="33"/>
      <c r="O89" s="33"/>
      <c r="P89" s="33"/>
      <c r="Q89" s="33"/>
      <c r="R89" s="33"/>
      <c r="S89" s="33"/>
      <c r="T89" s="31"/>
      <c r="U89" s="31"/>
      <c r="V89" s="31"/>
      <c r="W89" s="31"/>
      <c r="X89" s="31"/>
      <c r="Y89" s="31"/>
      <c r="Z89" s="31"/>
      <c r="AA89" s="31"/>
      <c r="AB89" s="31"/>
    </row>
    <row r="90" spans="1:28" x14ac:dyDescent="0.2">
      <c r="B90" s="67"/>
      <c r="C90" s="67"/>
      <c r="D90" s="67"/>
      <c r="E90" s="67"/>
      <c r="F90" s="67"/>
      <c r="G90" s="67"/>
      <c r="H90" s="67"/>
      <c r="I90" s="67"/>
      <c r="J90" s="33"/>
      <c r="K90" s="33"/>
      <c r="L90" s="33"/>
      <c r="M90" s="33"/>
      <c r="N90" s="33"/>
      <c r="O90" s="33"/>
      <c r="P90" s="33"/>
      <c r="Q90" s="33"/>
      <c r="R90" s="33"/>
      <c r="S90" s="33"/>
      <c r="T90" s="31"/>
      <c r="U90" s="31"/>
      <c r="V90" s="31"/>
      <c r="W90" s="31"/>
      <c r="X90" s="31"/>
      <c r="Y90" s="31"/>
      <c r="Z90" s="31"/>
      <c r="AA90" s="31"/>
      <c r="AB90" s="31"/>
    </row>
    <row r="91" spans="1:28" x14ac:dyDescent="0.2">
      <c r="B91" s="67"/>
      <c r="C91" s="67"/>
      <c r="D91" s="67"/>
      <c r="E91" s="67"/>
      <c r="F91" s="67"/>
      <c r="G91" s="67"/>
      <c r="H91" s="67"/>
      <c r="I91" s="67"/>
    </row>
    <row r="92" spans="1:28" x14ac:dyDescent="0.2">
      <c r="B92" s="67"/>
      <c r="C92" s="67"/>
      <c r="D92" s="67"/>
      <c r="E92" s="67"/>
      <c r="F92" s="67"/>
      <c r="G92" s="67"/>
      <c r="H92" s="67"/>
      <c r="I92" s="67"/>
    </row>
    <row r="93" spans="1:28" x14ac:dyDescent="0.2">
      <c r="B93" s="262" t="s">
        <v>144</v>
      </c>
      <c r="C93" s="262"/>
      <c r="D93" s="262"/>
      <c r="E93" s="262"/>
      <c r="F93" s="262"/>
      <c r="G93" s="262"/>
      <c r="H93" s="262"/>
      <c r="I93" s="262"/>
      <c r="J93" s="68"/>
    </row>
    <row r="94" spans="1:28" x14ac:dyDescent="0.2">
      <c r="B94" s="263" t="s">
        <v>145</v>
      </c>
      <c r="C94" s="263"/>
      <c r="D94" s="263"/>
      <c r="E94" s="263"/>
      <c r="F94" s="263"/>
      <c r="G94" s="263"/>
      <c r="H94" s="263"/>
      <c r="I94" s="263"/>
      <c r="J94" s="68"/>
    </row>
    <row r="95" spans="1:28" x14ac:dyDescent="0.2">
      <c r="B95" s="262" t="s">
        <v>146</v>
      </c>
      <c r="C95" s="262"/>
      <c r="D95" s="262"/>
      <c r="E95" s="262"/>
      <c r="F95" s="262"/>
      <c r="G95" s="262"/>
      <c r="H95" s="262"/>
      <c r="I95" s="262"/>
      <c r="J95" s="68"/>
    </row>
    <row r="96" spans="1:28" x14ac:dyDescent="0.2">
      <c r="B96" s="262" t="s">
        <v>147</v>
      </c>
      <c r="C96" s="262"/>
      <c r="D96" s="262"/>
      <c r="E96" s="262"/>
      <c r="F96" s="262"/>
      <c r="G96" s="262"/>
      <c r="H96" s="262"/>
      <c r="I96" s="262"/>
      <c r="J96" s="68"/>
    </row>
    <row r="97" spans="1:10" x14ac:dyDescent="0.2">
      <c r="B97" s="262" t="s">
        <v>148</v>
      </c>
      <c r="C97" s="262"/>
      <c r="D97" s="262"/>
      <c r="E97" s="262"/>
      <c r="F97" s="262"/>
      <c r="G97" s="262"/>
      <c r="H97" s="262"/>
      <c r="I97" s="262"/>
      <c r="J97" s="68"/>
    </row>
    <row r="98" spans="1:10" x14ac:dyDescent="0.2">
      <c r="B98" s="68"/>
      <c r="C98" s="68"/>
      <c r="D98" s="68"/>
      <c r="E98" s="68"/>
      <c r="F98" s="68"/>
      <c r="G98" s="68"/>
      <c r="H98" s="68"/>
      <c r="I98" s="68"/>
      <c r="J98" s="68"/>
    </row>
    <row r="99" spans="1:10" x14ac:dyDescent="0.2">
      <c r="B99" s="67"/>
      <c r="C99" s="67"/>
      <c r="D99" s="67"/>
      <c r="E99" s="67"/>
      <c r="F99" s="67"/>
      <c r="G99" s="67"/>
      <c r="H99" s="67"/>
      <c r="I99" s="67"/>
    </row>
    <row r="100" spans="1:10" x14ac:dyDescent="0.2">
      <c r="B100" s="67"/>
      <c r="C100" s="67"/>
      <c r="D100" s="67"/>
      <c r="E100" s="67"/>
      <c r="F100" s="67"/>
      <c r="G100" s="67"/>
      <c r="H100" s="67"/>
      <c r="I100" s="67"/>
    </row>
    <row r="101" spans="1:10" x14ac:dyDescent="0.2">
      <c r="B101" s="67"/>
      <c r="C101" s="67"/>
      <c r="D101" s="67"/>
      <c r="E101" s="67"/>
      <c r="F101" s="67"/>
      <c r="G101" s="67"/>
      <c r="H101" s="67"/>
      <c r="I101" s="67"/>
    </row>
    <row r="102" spans="1:10" x14ac:dyDescent="0.2">
      <c r="B102" s="67"/>
      <c r="C102" s="67"/>
      <c r="D102" s="67"/>
      <c r="E102" s="67"/>
      <c r="F102" s="67"/>
      <c r="G102" s="67"/>
      <c r="H102" s="67"/>
      <c r="I102" s="67"/>
    </row>
    <row r="106" spans="1:10" x14ac:dyDescent="0.2">
      <c r="A106" s="65"/>
    </row>
  </sheetData>
  <sheetProtection password="C931" sheet="1" selectLockedCells="1"/>
  <mergeCells count="67">
    <mergeCell ref="B95:I95"/>
    <mergeCell ref="B96:I96"/>
    <mergeCell ref="B97:I97"/>
    <mergeCell ref="J75:K75"/>
    <mergeCell ref="J76:K76"/>
    <mergeCell ref="B87:D87"/>
    <mergeCell ref="F87:K87"/>
    <mergeCell ref="B93:I93"/>
    <mergeCell ref="B94:I94"/>
    <mergeCell ref="J74:K74"/>
    <mergeCell ref="B64:C64"/>
    <mergeCell ref="B68:I76"/>
    <mergeCell ref="B62:C62"/>
    <mergeCell ref="B63:C63"/>
    <mergeCell ref="J69:K69"/>
    <mergeCell ref="J70:K70"/>
    <mergeCell ref="J71:K71"/>
    <mergeCell ref="J72:K72"/>
    <mergeCell ref="J73:K73"/>
    <mergeCell ref="B61:C61"/>
    <mergeCell ref="B50:C50"/>
    <mergeCell ref="B51:C51"/>
    <mergeCell ref="B52:C52"/>
    <mergeCell ref="B53:C53"/>
    <mergeCell ref="B54:C54"/>
    <mergeCell ref="B55:C55"/>
    <mergeCell ref="B56:C56"/>
    <mergeCell ref="B57:C57"/>
    <mergeCell ref="B58:C58"/>
    <mergeCell ref="B59:C59"/>
    <mergeCell ref="B60:C60"/>
    <mergeCell ref="B49:C49"/>
    <mergeCell ref="B38:C38"/>
    <mergeCell ref="B39:C39"/>
    <mergeCell ref="B40:C40"/>
    <mergeCell ref="B41:C41"/>
    <mergeCell ref="B42:C42"/>
    <mergeCell ref="B43:C43"/>
    <mergeCell ref="B44:C44"/>
    <mergeCell ref="B45:C45"/>
    <mergeCell ref="B46:C46"/>
    <mergeCell ref="B47:C47"/>
    <mergeCell ref="B48:C48"/>
    <mergeCell ref="B37:C37"/>
    <mergeCell ref="B26:C26"/>
    <mergeCell ref="B27:C27"/>
    <mergeCell ref="B28:C28"/>
    <mergeCell ref="B29:C29"/>
    <mergeCell ref="B30:C30"/>
    <mergeCell ref="B31:C31"/>
    <mergeCell ref="B32:C32"/>
    <mergeCell ref="B33:C33"/>
    <mergeCell ref="B34:C34"/>
    <mergeCell ref="B35:C35"/>
    <mergeCell ref="B36:C36"/>
    <mergeCell ref="B25:C25"/>
    <mergeCell ref="L1:L3"/>
    <mergeCell ref="I2:I3"/>
    <mergeCell ref="C6:D6"/>
    <mergeCell ref="C7:D7"/>
    <mergeCell ref="C8:D8"/>
    <mergeCell ref="C9:D9"/>
    <mergeCell ref="B10:B12"/>
    <mergeCell ref="C12:D12"/>
    <mergeCell ref="B22:C22"/>
    <mergeCell ref="B23:C23"/>
    <mergeCell ref="B24:C24"/>
  </mergeCells>
  <hyperlinks>
    <hyperlink ref="L4" location="Input!A1" display="Return to Input" xr:uid="{00000000-0004-0000-0900-000000000000}"/>
  </hyperlinks>
  <printOptions horizontalCentered="1" verticalCentered="1"/>
  <pageMargins left="0.39370078740157483" right="0.39370078740157483" top="0" bottom="0" header="0.31496062992125984" footer="0.31496062992125984"/>
  <pageSetup paperSize="258" scale="64" orientation="portrait" verticalDpi="4294967293" r:id="rId1"/>
  <rowBreaks count="1" manualBreakCount="1">
    <brk id="66" min="1"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A1:AB114"/>
  <sheetViews>
    <sheetView topLeftCell="B4" workbookViewId="0">
      <selection activeCell="D25" sqref="D25:D26"/>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5.4687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f>INPUT!D47</f>
        <v>17314000</v>
      </c>
      <c r="D9" s="281"/>
      <c r="L9" s="31"/>
      <c r="M9" s="31"/>
      <c r="N9" s="31"/>
    </row>
    <row r="10" spans="2:28" x14ac:dyDescent="0.2">
      <c r="B10" s="278"/>
      <c r="C10" s="171" t="s">
        <v>236</v>
      </c>
      <c r="D10" s="172"/>
      <c r="L10" s="31"/>
      <c r="M10" s="31"/>
      <c r="N10" s="31"/>
    </row>
    <row r="11" spans="2:28" x14ac:dyDescent="0.2">
      <c r="B11" s="278"/>
      <c r="C11" s="171" t="s">
        <v>237</v>
      </c>
      <c r="D11" s="172"/>
      <c r="L11" s="31"/>
      <c r="M11" s="31"/>
      <c r="N11" s="31"/>
    </row>
    <row r="12" spans="2:28" ht="15.75" thickBot="1" x14ac:dyDescent="0.25">
      <c r="B12" s="279"/>
      <c r="C12" s="272" t="s">
        <v>196</v>
      </c>
      <c r="D12" s="273"/>
      <c r="L12" s="31"/>
      <c r="M12" s="31"/>
      <c r="N12" s="31"/>
    </row>
    <row r="13" spans="2:28" x14ac:dyDescent="0.2">
      <c r="E13" s="33"/>
      <c r="F13" s="33"/>
      <c r="G13" s="33"/>
      <c r="H13" s="33"/>
      <c r="I13" s="33"/>
      <c r="J13" s="33"/>
      <c r="K13" s="33"/>
      <c r="L13" s="86" t="s">
        <v>150</v>
      </c>
      <c r="M13" s="87">
        <v>0.02</v>
      </c>
      <c r="N13" s="33"/>
    </row>
    <row r="14" spans="2:28" x14ac:dyDescent="0.2">
      <c r="B14" s="34" t="s">
        <v>64</v>
      </c>
      <c r="C14" s="34"/>
      <c r="E14" s="33"/>
      <c r="F14" s="33"/>
      <c r="G14" s="33"/>
      <c r="H14" s="33"/>
      <c r="I14" s="33"/>
      <c r="J14" s="33"/>
      <c r="K14" s="33"/>
      <c r="L14" s="33"/>
      <c r="M14" s="87">
        <v>0</v>
      </c>
      <c r="N14" s="33"/>
    </row>
    <row r="15" spans="2:28" x14ac:dyDescent="0.2">
      <c r="B15" s="35" t="s">
        <v>65</v>
      </c>
      <c r="C15" s="36"/>
      <c r="D15" s="37">
        <f>C9</f>
        <v>17314000</v>
      </c>
      <c r="E15" s="38" t="e">
        <f>#REF!</f>
        <v>#REF!</v>
      </c>
      <c r="F15" s="39" t="e">
        <f>D15-E15</f>
        <v>#REF!</v>
      </c>
      <c r="G15" s="33"/>
      <c r="H15" s="33"/>
      <c r="I15" s="95"/>
      <c r="J15" s="33"/>
      <c r="K15" s="33"/>
      <c r="L15" s="33"/>
      <c r="M15" s="33"/>
      <c r="N15" s="33"/>
      <c r="O15" s="33"/>
      <c r="P15" s="33"/>
      <c r="Q15" s="33"/>
      <c r="R15" s="33"/>
      <c r="S15" s="33"/>
      <c r="T15" s="31"/>
      <c r="U15" s="31"/>
      <c r="V15" s="31"/>
      <c r="W15" s="31"/>
      <c r="X15" s="31"/>
      <c r="Y15" s="31"/>
      <c r="Z15" s="31"/>
    </row>
    <row r="16" spans="2:28" x14ac:dyDescent="0.2">
      <c r="B16" s="115" t="s">
        <v>66</v>
      </c>
      <c r="C16" s="41"/>
      <c r="D16" s="42">
        <f>IF(INPUT!$D$43="Sycamore Heights",SY_Mem_Cash!$H$2,SY_Mem_Cash!$H$1)</f>
        <v>650000</v>
      </c>
      <c r="E16" s="43">
        <f>VLOOKUP([2]INPUT!$N$6,[2]Sheet1!$E$1:$K$65536,5,0)</f>
        <v>350000</v>
      </c>
      <c r="F16" s="39">
        <f t="shared" ref="F16:H16" si="0">D16-E16</f>
        <v>300000</v>
      </c>
      <c r="G16" s="39">
        <f t="shared" si="0"/>
        <v>50000</v>
      </c>
      <c r="H16" s="39">
        <f t="shared" si="0"/>
        <v>250000</v>
      </c>
      <c r="I16" s="33"/>
      <c r="J16" s="33"/>
      <c r="K16" s="95"/>
      <c r="L16" s="33"/>
      <c r="M16" s="33"/>
      <c r="N16" s="33"/>
      <c r="O16" s="33"/>
      <c r="P16" s="33"/>
      <c r="Q16" s="65"/>
      <c r="R16" s="65"/>
      <c r="S16" s="33"/>
      <c r="T16" s="33"/>
      <c r="U16" s="33"/>
      <c r="V16" s="31"/>
      <c r="W16" s="31"/>
      <c r="X16" s="31"/>
      <c r="Y16" s="31"/>
      <c r="Z16" s="31"/>
      <c r="AA16" s="31"/>
      <c r="AB16" s="31"/>
    </row>
    <row r="17" spans="2:28" x14ac:dyDescent="0.2">
      <c r="B17" s="115">
        <f>IF(INPUT!$D$42="Repeat Buyer",Classic_Mem_Inst1!$L$13,Classic_Mem_Inst1!$L$14)</f>
        <v>0</v>
      </c>
      <c r="C17" s="97">
        <f>IF(B17=Classic_Mem_Inst1!$L$13,Classic_Mem_Inst1!$M$13,Classic_Mem_Inst1!$M$14)</f>
        <v>0</v>
      </c>
      <c r="D17" s="42">
        <f>(D15-D16)*C17</f>
        <v>0</v>
      </c>
      <c r="E17" s="44"/>
      <c r="F17" s="39"/>
      <c r="G17" s="39"/>
      <c r="H17" s="39"/>
      <c r="I17" s="33"/>
      <c r="J17" s="33"/>
      <c r="K17" s="95"/>
      <c r="L17" s="33"/>
      <c r="M17" s="33"/>
      <c r="N17" s="33"/>
      <c r="O17" s="33"/>
      <c r="P17" s="33"/>
      <c r="Q17" s="33"/>
      <c r="R17" s="33"/>
      <c r="S17" s="33"/>
      <c r="T17" s="33"/>
      <c r="U17" s="33"/>
      <c r="V17" s="31"/>
      <c r="W17" s="31"/>
      <c r="X17" s="31"/>
      <c r="Y17" s="31"/>
      <c r="Z17" s="31"/>
      <c r="AA17" s="31"/>
      <c r="AB17" s="31"/>
    </row>
    <row r="18" spans="2:28" x14ac:dyDescent="0.2">
      <c r="B18" s="40" t="s">
        <v>68</v>
      </c>
      <c r="C18" s="97">
        <v>0.05</v>
      </c>
      <c r="D18" s="42">
        <f>((D15-D16-D17)/1.12)*C18</f>
        <v>743928.57142857136</v>
      </c>
      <c r="E18" s="120"/>
      <c r="F18" s="113"/>
      <c r="G18" s="113"/>
      <c r="H18" s="113"/>
      <c r="I18" s="31"/>
      <c r="J18" s="31"/>
      <c r="K18" s="31"/>
      <c r="L18" s="31"/>
      <c r="M18" s="31"/>
      <c r="N18" s="31"/>
      <c r="O18" s="31"/>
      <c r="P18" s="31"/>
      <c r="Q18" s="31"/>
      <c r="R18" s="31"/>
      <c r="S18" s="31"/>
      <c r="T18" s="31"/>
      <c r="U18" s="31"/>
      <c r="V18" s="31"/>
      <c r="W18" s="31"/>
      <c r="X18" s="31"/>
      <c r="Y18" s="31"/>
      <c r="Z18" s="31"/>
      <c r="AA18" s="31"/>
      <c r="AB18" s="31"/>
    </row>
    <row r="19" spans="2:28" ht="15.75" thickBot="1" x14ac:dyDescent="0.25">
      <c r="B19" s="45" t="s">
        <v>69</v>
      </c>
      <c r="C19" s="46"/>
      <c r="D19" s="47">
        <f>(D15-D16-D17+D18)</f>
        <v>17407928.571428571</v>
      </c>
      <c r="E19" s="38"/>
      <c r="F19" s="39"/>
      <c r="G19" s="39"/>
      <c r="H19" s="39"/>
      <c r="I19" s="33"/>
      <c r="J19" s="33"/>
      <c r="K19" s="95"/>
      <c r="L19" s="33"/>
      <c r="M19" s="33"/>
      <c r="N19" s="33"/>
      <c r="O19" s="33"/>
      <c r="P19" s="33"/>
      <c r="Q19" s="33"/>
      <c r="R19" s="33"/>
      <c r="S19" s="33"/>
      <c r="T19" s="33"/>
      <c r="U19" s="33"/>
      <c r="V19" s="31"/>
      <c r="W19" s="31"/>
      <c r="X19" s="31"/>
      <c r="Y19" s="31"/>
      <c r="Z19" s="31"/>
      <c r="AA19" s="31"/>
      <c r="AB19" s="31"/>
    </row>
    <row r="20" spans="2:28" ht="16.5" thickTop="1" thickBot="1" x14ac:dyDescent="0.25"/>
    <row r="21" spans="2:28" ht="15.75" thickBot="1" x14ac:dyDescent="0.25">
      <c r="B21" s="274" t="s">
        <v>70</v>
      </c>
      <c r="C21" s="275"/>
      <c r="D21" s="78" t="s">
        <v>71</v>
      </c>
      <c r="E21" s="78" t="s">
        <v>72</v>
      </c>
      <c r="F21" s="78" t="s">
        <v>73</v>
      </c>
      <c r="G21" s="78" t="s">
        <v>74</v>
      </c>
      <c r="H21" s="78" t="s">
        <v>75</v>
      </c>
      <c r="I21" s="79" t="s">
        <v>76</v>
      </c>
      <c r="J21" s="33"/>
      <c r="K21" s="33"/>
      <c r="L21" s="33"/>
      <c r="M21" s="33"/>
      <c r="N21" s="33"/>
    </row>
    <row r="22" spans="2:28" x14ac:dyDescent="0.2">
      <c r="B22" s="302">
        <v>0</v>
      </c>
      <c r="C22" s="303"/>
      <c r="D22" s="50">
        <v>44917</v>
      </c>
      <c r="E22" s="173" t="s">
        <v>77</v>
      </c>
      <c r="F22" s="51">
        <v>50000</v>
      </c>
      <c r="G22" s="106"/>
      <c r="H22" s="106">
        <f>SUM(F22:G22)</f>
        <v>50000</v>
      </c>
      <c r="I22" s="52">
        <f>D19-H22</f>
        <v>17357928.571428571</v>
      </c>
      <c r="J22" s="53" t="s">
        <v>78</v>
      </c>
      <c r="K22" s="33"/>
      <c r="L22" s="38">
        <v>56000</v>
      </c>
      <c r="M22" s="39">
        <f>L22-F22</f>
        <v>6000</v>
      </c>
      <c r="N22" s="33"/>
    </row>
    <row r="23" spans="2:28" hidden="1" x14ac:dyDescent="0.2">
      <c r="B23" s="290"/>
      <c r="C23" s="265"/>
      <c r="D23" s="70">
        <v>44948</v>
      </c>
      <c r="E23" s="74" t="s">
        <v>79</v>
      </c>
      <c r="F23" s="75"/>
      <c r="G23" s="118"/>
      <c r="H23" s="118">
        <v>0</v>
      </c>
      <c r="I23" s="76">
        <f>I22-H23</f>
        <v>17357928.571428571</v>
      </c>
      <c r="J23" s="53"/>
      <c r="K23" s="33"/>
      <c r="L23" s="38"/>
      <c r="M23" s="39"/>
      <c r="N23" s="33"/>
    </row>
    <row r="24" spans="2:28" x14ac:dyDescent="0.2">
      <c r="B24" s="290">
        <f>B23+1</f>
        <v>1</v>
      </c>
      <c r="C24" s="265"/>
      <c r="D24" s="70">
        <f>EDATE(D22,1)</f>
        <v>44948</v>
      </c>
      <c r="E24" s="170" t="s">
        <v>160</v>
      </c>
      <c r="F24" s="71">
        <f>(((D19-D18)*10%)-F22)/10</f>
        <v>161640</v>
      </c>
      <c r="G24" s="107">
        <f>(((D18)*10%))/10</f>
        <v>7439.2857142857147</v>
      </c>
      <c r="H24" s="107">
        <f>SUM(F24:G24)</f>
        <v>169079.28571428571</v>
      </c>
      <c r="I24" s="76">
        <f>I23-H24</f>
        <v>17188849.285714284</v>
      </c>
      <c r="J24" s="53"/>
      <c r="K24" s="33"/>
      <c r="L24" s="38"/>
      <c r="M24" s="39"/>
      <c r="N24" s="33"/>
    </row>
    <row r="25" spans="2:28" x14ac:dyDescent="0.2">
      <c r="B25" s="290">
        <f t="shared" ref="B25:B72" si="1">B24+1</f>
        <v>2</v>
      </c>
      <c r="C25" s="265"/>
      <c r="D25" s="70">
        <f>EDATE(D24,1)</f>
        <v>44979</v>
      </c>
      <c r="E25" s="170" t="s">
        <v>161</v>
      </c>
      <c r="F25" s="71">
        <f>F24</f>
        <v>161640</v>
      </c>
      <c r="G25" s="107">
        <f>G24</f>
        <v>7439.2857142857147</v>
      </c>
      <c r="H25" s="107">
        <f>SUM(F25:G25)</f>
        <v>169079.28571428571</v>
      </c>
      <c r="I25" s="76">
        <f t="shared" ref="I25:I72" si="2">I24-H25</f>
        <v>17019769.999999996</v>
      </c>
      <c r="J25" s="53"/>
      <c r="K25" s="33"/>
      <c r="L25" s="38"/>
      <c r="M25" s="39"/>
      <c r="N25" s="33"/>
    </row>
    <row r="26" spans="2:28" x14ac:dyDescent="0.2">
      <c r="B26" s="290">
        <f t="shared" si="1"/>
        <v>3</v>
      </c>
      <c r="C26" s="265"/>
      <c r="D26" s="70">
        <f t="shared" ref="D26:D72" si="3">EDATE(D25,1)</f>
        <v>45007</v>
      </c>
      <c r="E26" s="170" t="s">
        <v>162</v>
      </c>
      <c r="F26" s="71">
        <f>F25</f>
        <v>161640</v>
      </c>
      <c r="G26" s="107">
        <f>G25</f>
        <v>7439.2857142857147</v>
      </c>
      <c r="H26" s="107">
        <f t="shared" ref="H26:H67" si="4">SUM(F26:G26)</f>
        <v>169079.28571428571</v>
      </c>
      <c r="I26" s="76">
        <f t="shared" si="2"/>
        <v>16850690.714285709</v>
      </c>
      <c r="J26" s="53"/>
      <c r="K26" s="33"/>
      <c r="L26" s="38"/>
      <c r="M26" s="39"/>
      <c r="N26" s="33"/>
    </row>
    <row r="27" spans="2:28" x14ac:dyDescent="0.2">
      <c r="B27" s="290">
        <f t="shared" si="1"/>
        <v>4</v>
      </c>
      <c r="C27" s="265"/>
      <c r="D27" s="70">
        <f t="shared" si="3"/>
        <v>45038</v>
      </c>
      <c r="E27" s="170" t="s">
        <v>163</v>
      </c>
      <c r="F27" s="71">
        <f t="shared" ref="F27:F33" si="5">F26</f>
        <v>161640</v>
      </c>
      <c r="G27" s="107">
        <f t="shared" ref="G27:G33" si="6">G26</f>
        <v>7439.2857142857147</v>
      </c>
      <c r="H27" s="107">
        <f t="shared" si="4"/>
        <v>169079.28571428571</v>
      </c>
      <c r="I27" s="76">
        <f t="shared" si="2"/>
        <v>16681611.428571424</v>
      </c>
      <c r="J27" s="53"/>
      <c r="K27" s="33"/>
      <c r="L27" s="38"/>
      <c r="M27" s="39"/>
      <c r="N27" s="33"/>
    </row>
    <row r="28" spans="2:28" x14ac:dyDescent="0.2">
      <c r="B28" s="290">
        <f t="shared" si="1"/>
        <v>5</v>
      </c>
      <c r="C28" s="265"/>
      <c r="D28" s="70">
        <f t="shared" si="3"/>
        <v>45068</v>
      </c>
      <c r="E28" s="170" t="s">
        <v>164</v>
      </c>
      <c r="F28" s="71">
        <f t="shared" si="5"/>
        <v>161640</v>
      </c>
      <c r="G28" s="107">
        <f t="shared" si="6"/>
        <v>7439.2857142857147</v>
      </c>
      <c r="H28" s="107">
        <f t="shared" si="4"/>
        <v>169079.28571428571</v>
      </c>
      <c r="I28" s="76">
        <f t="shared" si="2"/>
        <v>16512532.142857138</v>
      </c>
      <c r="J28" s="53"/>
      <c r="K28" s="33"/>
      <c r="L28" s="38"/>
      <c r="M28" s="39"/>
      <c r="N28" s="33"/>
    </row>
    <row r="29" spans="2:28" x14ac:dyDescent="0.2">
      <c r="B29" s="290">
        <f t="shared" si="1"/>
        <v>6</v>
      </c>
      <c r="C29" s="265"/>
      <c r="D29" s="70">
        <f t="shared" si="3"/>
        <v>45099</v>
      </c>
      <c r="E29" s="170" t="s">
        <v>165</v>
      </c>
      <c r="F29" s="71">
        <f t="shared" si="5"/>
        <v>161640</v>
      </c>
      <c r="G29" s="107">
        <f t="shared" si="6"/>
        <v>7439.2857142857147</v>
      </c>
      <c r="H29" s="107">
        <f t="shared" si="4"/>
        <v>169079.28571428571</v>
      </c>
      <c r="I29" s="76">
        <f t="shared" si="2"/>
        <v>16343452.857142853</v>
      </c>
      <c r="J29" s="53"/>
      <c r="K29" s="33"/>
      <c r="L29" s="38"/>
      <c r="M29" s="39"/>
      <c r="N29" s="33"/>
    </row>
    <row r="30" spans="2:28" x14ac:dyDescent="0.2">
      <c r="B30" s="290">
        <f t="shared" si="1"/>
        <v>7</v>
      </c>
      <c r="C30" s="265"/>
      <c r="D30" s="70">
        <f t="shared" si="3"/>
        <v>45129</v>
      </c>
      <c r="E30" s="170" t="s">
        <v>166</v>
      </c>
      <c r="F30" s="71">
        <f t="shared" si="5"/>
        <v>161640</v>
      </c>
      <c r="G30" s="107">
        <f t="shared" si="6"/>
        <v>7439.2857142857147</v>
      </c>
      <c r="H30" s="107">
        <f t="shared" si="4"/>
        <v>169079.28571428571</v>
      </c>
      <c r="I30" s="76">
        <f t="shared" si="2"/>
        <v>16174373.571428567</v>
      </c>
      <c r="J30" s="53"/>
      <c r="K30" s="33"/>
      <c r="L30" s="38"/>
      <c r="M30" s="39"/>
      <c r="N30" s="33"/>
    </row>
    <row r="31" spans="2:28" x14ac:dyDescent="0.2">
      <c r="B31" s="290">
        <f t="shared" si="1"/>
        <v>8</v>
      </c>
      <c r="C31" s="265"/>
      <c r="D31" s="70">
        <f t="shared" si="3"/>
        <v>45160</v>
      </c>
      <c r="E31" s="170" t="s">
        <v>167</v>
      </c>
      <c r="F31" s="71">
        <f t="shared" si="5"/>
        <v>161640</v>
      </c>
      <c r="G31" s="107">
        <f t="shared" si="6"/>
        <v>7439.2857142857147</v>
      </c>
      <c r="H31" s="107">
        <f t="shared" si="4"/>
        <v>169079.28571428571</v>
      </c>
      <c r="I31" s="76">
        <f t="shared" si="2"/>
        <v>16005294.285714282</v>
      </c>
      <c r="J31" s="53"/>
      <c r="K31" s="33"/>
      <c r="L31" s="38"/>
      <c r="M31" s="39"/>
      <c r="N31" s="33"/>
    </row>
    <row r="32" spans="2:28" x14ac:dyDescent="0.2">
      <c r="B32" s="290">
        <f t="shared" si="1"/>
        <v>9</v>
      </c>
      <c r="C32" s="265"/>
      <c r="D32" s="70">
        <f t="shared" si="3"/>
        <v>45191</v>
      </c>
      <c r="E32" s="170" t="s">
        <v>168</v>
      </c>
      <c r="F32" s="71">
        <f t="shared" si="5"/>
        <v>161640</v>
      </c>
      <c r="G32" s="107">
        <f t="shared" si="6"/>
        <v>7439.2857142857147</v>
      </c>
      <c r="H32" s="107">
        <f t="shared" si="4"/>
        <v>169079.28571428571</v>
      </c>
      <c r="I32" s="76">
        <f t="shared" si="2"/>
        <v>15836214.999999996</v>
      </c>
      <c r="J32" s="53"/>
      <c r="K32" s="33"/>
      <c r="L32" s="38"/>
      <c r="M32" s="39"/>
      <c r="N32" s="33"/>
    </row>
    <row r="33" spans="2:14" x14ac:dyDescent="0.2">
      <c r="B33" s="290">
        <f t="shared" si="1"/>
        <v>10</v>
      </c>
      <c r="C33" s="265"/>
      <c r="D33" s="70">
        <f t="shared" si="3"/>
        <v>45221</v>
      </c>
      <c r="E33" s="170" t="s">
        <v>169</v>
      </c>
      <c r="F33" s="71">
        <f t="shared" si="5"/>
        <v>161640</v>
      </c>
      <c r="G33" s="107">
        <f t="shared" si="6"/>
        <v>7439.2857142857147</v>
      </c>
      <c r="H33" s="107">
        <f t="shared" si="4"/>
        <v>169079.28571428571</v>
      </c>
      <c r="I33" s="76">
        <f t="shared" si="2"/>
        <v>15667135.714285711</v>
      </c>
      <c r="J33" s="53"/>
      <c r="K33" s="33"/>
      <c r="L33" s="38"/>
      <c r="M33" s="39"/>
      <c r="N33" s="33"/>
    </row>
    <row r="34" spans="2:14" x14ac:dyDescent="0.2">
      <c r="B34" s="290">
        <f t="shared" si="1"/>
        <v>11</v>
      </c>
      <c r="C34" s="265"/>
      <c r="D34" s="70">
        <f t="shared" si="3"/>
        <v>45252</v>
      </c>
      <c r="E34" s="170" t="s">
        <v>198</v>
      </c>
      <c r="F34" s="71">
        <f>(((D19-D18)*50%)/38)</f>
        <v>219263.15789473685</v>
      </c>
      <c r="G34" s="107">
        <f>(((D18)*50%))/38</f>
        <v>9788.5338345864657</v>
      </c>
      <c r="H34" s="107">
        <f>SUM(F34:G34)</f>
        <v>229051.69172932333</v>
      </c>
      <c r="I34" s="76">
        <f t="shared" si="2"/>
        <v>15438084.022556387</v>
      </c>
      <c r="J34" s="53"/>
      <c r="K34" s="33"/>
      <c r="L34" s="38"/>
      <c r="M34" s="39"/>
      <c r="N34" s="33"/>
    </row>
    <row r="35" spans="2:14" x14ac:dyDescent="0.2">
      <c r="B35" s="290">
        <f t="shared" si="1"/>
        <v>12</v>
      </c>
      <c r="C35" s="265"/>
      <c r="D35" s="70">
        <f t="shared" si="3"/>
        <v>45282</v>
      </c>
      <c r="E35" s="170" t="s">
        <v>199</v>
      </c>
      <c r="F35" s="71">
        <f t="shared" ref="F35:G50" si="7">F34</f>
        <v>219263.15789473685</v>
      </c>
      <c r="G35" s="107">
        <f t="shared" si="7"/>
        <v>9788.5338345864657</v>
      </c>
      <c r="H35" s="107">
        <f t="shared" si="4"/>
        <v>229051.69172932333</v>
      </c>
      <c r="I35" s="76">
        <f t="shared" si="2"/>
        <v>15209032.330827063</v>
      </c>
      <c r="J35" s="53"/>
      <c r="K35" s="33"/>
      <c r="L35" s="38"/>
      <c r="M35" s="39"/>
      <c r="N35" s="33"/>
    </row>
    <row r="36" spans="2:14" x14ac:dyDescent="0.2">
      <c r="B36" s="290">
        <f t="shared" si="1"/>
        <v>13</v>
      </c>
      <c r="C36" s="265"/>
      <c r="D36" s="70">
        <f t="shared" si="3"/>
        <v>45313</v>
      </c>
      <c r="E36" s="170" t="s">
        <v>200</v>
      </c>
      <c r="F36" s="71">
        <f t="shared" si="7"/>
        <v>219263.15789473685</v>
      </c>
      <c r="G36" s="107">
        <f t="shared" si="7"/>
        <v>9788.5338345864657</v>
      </c>
      <c r="H36" s="107">
        <f t="shared" si="4"/>
        <v>229051.69172932333</v>
      </c>
      <c r="I36" s="76">
        <f t="shared" si="2"/>
        <v>14979980.639097739</v>
      </c>
      <c r="J36" s="53"/>
      <c r="K36" s="33"/>
      <c r="L36" s="38"/>
      <c r="M36" s="39"/>
      <c r="N36" s="33"/>
    </row>
    <row r="37" spans="2:14" x14ac:dyDescent="0.2">
      <c r="B37" s="290">
        <f t="shared" si="1"/>
        <v>14</v>
      </c>
      <c r="C37" s="265"/>
      <c r="D37" s="70">
        <f t="shared" si="3"/>
        <v>45344</v>
      </c>
      <c r="E37" s="170" t="s">
        <v>201</v>
      </c>
      <c r="F37" s="71">
        <f t="shared" si="7"/>
        <v>219263.15789473685</v>
      </c>
      <c r="G37" s="107">
        <f t="shared" si="7"/>
        <v>9788.5338345864657</v>
      </c>
      <c r="H37" s="107">
        <f t="shared" si="4"/>
        <v>229051.69172932333</v>
      </c>
      <c r="I37" s="76">
        <f t="shared" si="2"/>
        <v>14750928.947368415</v>
      </c>
      <c r="J37" s="53"/>
      <c r="K37" s="33"/>
      <c r="L37" s="38"/>
      <c r="M37" s="39"/>
      <c r="N37" s="33"/>
    </row>
    <row r="38" spans="2:14" x14ac:dyDescent="0.2">
      <c r="B38" s="290">
        <f t="shared" si="1"/>
        <v>15</v>
      </c>
      <c r="C38" s="265"/>
      <c r="D38" s="70">
        <f t="shared" si="3"/>
        <v>45373</v>
      </c>
      <c r="E38" s="170" t="s">
        <v>202</v>
      </c>
      <c r="F38" s="71">
        <f t="shared" si="7"/>
        <v>219263.15789473685</v>
      </c>
      <c r="G38" s="107">
        <f t="shared" si="7"/>
        <v>9788.5338345864657</v>
      </c>
      <c r="H38" s="107">
        <f t="shared" si="4"/>
        <v>229051.69172932333</v>
      </c>
      <c r="I38" s="76">
        <f t="shared" si="2"/>
        <v>14521877.255639091</v>
      </c>
      <c r="J38" s="53"/>
      <c r="K38" s="33"/>
      <c r="L38" s="38"/>
      <c r="M38" s="39"/>
      <c r="N38" s="33"/>
    </row>
    <row r="39" spans="2:14" x14ac:dyDescent="0.2">
      <c r="B39" s="290">
        <f t="shared" si="1"/>
        <v>16</v>
      </c>
      <c r="C39" s="265"/>
      <c r="D39" s="70">
        <f t="shared" si="3"/>
        <v>45404</v>
      </c>
      <c r="E39" s="170" t="s">
        <v>203</v>
      </c>
      <c r="F39" s="71">
        <f t="shared" si="7"/>
        <v>219263.15789473685</v>
      </c>
      <c r="G39" s="107">
        <f t="shared" si="7"/>
        <v>9788.5338345864657</v>
      </c>
      <c r="H39" s="107">
        <f t="shared" si="4"/>
        <v>229051.69172932333</v>
      </c>
      <c r="I39" s="76">
        <f t="shared" si="2"/>
        <v>14292825.563909767</v>
      </c>
      <c r="J39" s="53"/>
      <c r="K39" s="33"/>
      <c r="L39" s="38"/>
      <c r="M39" s="39"/>
      <c r="N39" s="33"/>
    </row>
    <row r="40" spans="2:14" x14ac:dyDescent="0.2">
      <c r="B40" s="290">
        <f t="shared" si="1"/>
        <v>17</v>
      </c>
      <c r="C40" s="265"/>
      <c r="D40" s="70">
        <f t="shared" si="3"/>
        <v>45434</v>
      </c>
      <c r="E40" s="170" t="s">
        <v>204</v>
      </c>
      <c r="F40" s="71">
        <f t="shared" si="7"/>
        <v>219263.15789473685</v>
      </c>
      <c r="G40" s="107">
        <f t="shared" si="7"/>
        <v>9788.5338345864657</v>
      </c>
      <c r="H40" s="107">
        <f t="shared" si="4"/>
        <v>229051.69172932333</v>
      </c>
      <c r="I40" s="76">
        <f t="shared" si="2"/>
        <v>14063773.872180443</v>
      </c>
      <c r="J40" s="53"/>
      <c r="K40" s="33"/>
      <c r="L40" s="38"/>
      <c r="M40" s="39"/>
      <c r="N40" s="33"/>
    </row>
    <row r="41" spans="2:14" x14ac:dyDescent="0.2">
      <c r="B41" s="290">
        <f t="shared" si="1"/>
        <v>18</v>
      </c>
      <c r="C41" s="265"/>
      <c r="D41" s="70">
        <f t="shared" si="3"/>
        <v>45465</v>
      </c>
      <c r="E41" s="170" t="s">
        <v>205</v>
      </c>
      <c r="F41" s="71">
        <f t="shared" si="7"/>
        <v>219263.15789473685</v>
      </c>
      <c r="G41" s="107">
        <f t="shared" si="7"/>
        <v>9788.5338345864657</v>
      </c>
      <c r="H41" s="107">
        <f t="shared" si="4"/>
        <v>229051.69172932333</v>
      </c>
      <c r="I41" s="76">
        <f t="shared" si="2"/>
        <v>13834722.180451119</v>
      </c>
      <c r="J41" s="53"/>
      <c r="K41" s="33"/>
      <c r="L41" s="38"/>
      <c r="M41" s="39"/>
      <c r="N41" s="33"/>
    </row>
    <row r="42" spans="2:14" x14ac:dyDescent="0.2">
      <c r="B42" s="290">
        <f t="shared" si="1"/>
        <v>19</v>
      </c>
      <c r="C42" s="265"/>
      <c r="D42" s="70">
        <f t="shared" si="3"/>
        <v>45495</v>
      </c>
      <c r="E42" s="170" t="s">
        <v>206</v>
      </c>
      <c r="F42" s="71">
        <f t="shared" si="7"/>
        <v>219263.15789473685</v>
      </c>
      <c r="G42" s="107">
        <f t="shared" si="7"/>
        <v>9788.5338345864657</v>
      </c>
      <c r="H42" s="107">
        <f t="shared" si="4"/>
        <v>229051.69172932333</v>
      </c>
      <c r="I42" s="76">
        <f t="shared" si="2"/>
        <v>13605670.488721795</v>
      </c>
      <c r="J42" s="53"/>
      <c r="K42" s="33"/>
      <c r="L42" s="38"/>
      <c r="M42" s="39"/>
      <c r="N42" s="33"/>
    </row>
    <row r="43" spans="2:14" x14ac:dyDescent="0.2">
      <c r="B43" s="290">
        <f t="shared" si="1"/>
        <v>20</v>
      </c>
      <c r="C43" s="265"/>
      <c r="D43" s="70">
        <f t="shared" si="3"/>
        <v>45526</v>
      </c>
      <c r="E43" s="170" t="s">
        <v>207</v>
      </c>
      <c r="F43" s="71">
        <f t="shared" si="7"/>
        <v>219263.15789473685</v>
      </c>
      <c r="G43" s="107">
        <f t="shared" si="7"/>
        <v>9788.5338345864657</v>
      </c>
      <c r="H43" s="107">
        <f t="shared" si="4"/>
        <v>229051.69172932333</v>
      </c>
      <c r="I43" s="76">
        <f t="shared" si="2"/>
        <v>13376618.796992471</v>
      </c>
      <c r="J43" s="53"/>
      <c r="K43" s="33"/>
      <c r="L43" s="38"/>
      <c r="M43" s="39"/>
      <c r="N43" s="33"/>
    </row>
    <row r="44" spans="2:14" x14ac:dyDescent="0.2">
      <c r="B44" s="290">
        <f t="shared" si="1"/>
        <v>21</v>
      </c>
      <c r="C44" s="265"/>
      <c r="D44" s="70">
        <f t="shared" si="3"/>
        <v>45557</v>
      </c>
      <c r="E44" s="170" t="s">
        <v>208</v>
      </c>
      <c r="F44" s="71">
        <f t="shared" si="7"/>
        <v>219263.15789473685</v>
      </c>
      <c r="G44" s="107">
        <f t="shared" si="7"/>
        <v>9788.5338345864657</v>
      </c>
      <c r="H44" s="107">
        <f t="shared" si="4"/>
        <v>229051.69172932333</v>
      </c>
      <c r="I44" s="76">
        <f t="shared" si="2"/>
        <v>13147567.105263148</v>
      </c>
      <c r="J44" s="53"/>
      <c r="K44" s="33"/>
      <c r="L44" s="38"/>
      <c r="M44" s="39"/>
      <c r="N44" s="33"/>
    </row>
    <row r="45" spans="2:14" x14ac:dyDescent="0.2">
      <c r="B45" s="290">
        <f t="shared" si="1"/>
        <v>22</v>
      </c>
      <c r="C45" s="265"/>
      <c r="D45" s="70">
        <f t="shared" si="3"/>
        <v>45587</v>
      </c>
      <c r="E45" s="170" t="s">
        <v>209</v>
      </c>
      <c r="F45" s="71">
        <f t="shared" si="7"/>
        <v>219263.15789473685</v>
      </c>
      <c r="G45" s="107">
        <f t="shared" si="7"/>
        <v>9788.5338345864657</v>
      </c>
      <c r="H45" s="107">
        <f t="shared" si="4"/>
        <v>229051.69172932333</v>
      </c>
      <c r="I45" s="76">
        <f t="shared" si="2"/>
        <v>12918515.413533824</v>
      </c>
      <c r="J45" s="53"/>
      <c r="K45" s="33"/>
      <c r="L45" s="38"/>
      <c r="M45" s="39"/>
      <c r="N45" s="33"/>
    </row>
    <row r="46" spans="2:14" x14ac:dyDescent="0.2">
      <c r="B46" s="290">
        <f t="shared" si="1"/>
        <v>23</v>
      </c>
      <c r="C46" s="265"/>
      <c r="D46" s="70">
        <f t="shared" si="3"/>
        <v>45618</v>
      </c>
      <c r="E46" s="170" t="s">
        <v>210</v>
      </c>
      <c r="F46" s="71">
        <f t="shared" si="7"/>
        <v>219263.15789473685</v>
      </c>
      <c r="G46" s="107">
        <f t="shared" si="7"/>
        <v>9788.5338345864657</v>
      </c>
      <c r="H46" s="107">
        <f t="shared" si="4"/>
        <v>229051.69172932333</v>
      </c>
      <c r="I46" s="76">
        <f t="shared" si="2"/>
        <v>12689463.7218045</v>
      </c>
      <c r="J46" s="53"/>
      <c r="K46" s="33"/>
      <c r="L46" s="38"/>
      <c r="M46" s="39"/>
      <c r="N46" s="33"/>
    </row>
    <row r="47" spans="2:14" x14ac:dyDescent="0.2">
      <c r="B47" s="290">
        <f t="shared" si="1"/>
        <v>24</v>
      </c>
      <c r="C47" s="265"/>
      <c r="D47" s="70">
        <f t="shared" si="3"/>
        <v>45648</v>
      </c>
      <c r="E47" s="170" t="s">
        <v>211</v>
      </c>
      <c r="F47" s="71">
        <f t="shared" si="7"/>
        <v>219263.15789473685</v>
      </c>
      <c r="G47" s="107">
        <f t="shared" si="7"/>
        <v>9788.5338345864657</v>
      </c>
      <c r="H47" s="107">
        <f t="shared" si="4"/>
        <v>229051.69172932333</v>
      </c>
      <c r="I47" s="76">
        <f t="shared" si="2"/>
        <v>12460412.030075176</v>
      </c>
      <c r="J47" s="53"/>
      <c r="K47" s="33"/>
      <c r="L47" s="38"/>
      <c r="M47" s="39"/>
      <c r="N47" s="33"/>
    </row>
    <row r="48" spans="2:14" x14ac:dyDescent="0.2">
      <c r="B48" s="290">
        <f t="shared" si="1"/>
        <v>25</v>
      </c>
      <c r="C48" s="265"/>
      <c r="D48" s="70">
        <f t="shared" si="3"/>
        <v>45679</v>
      </c>
      <c r="E48" s="170" t="s">
        <v>212</v>
      </c>
      <c r="F48" s="71">
        <f t="shared" si="7"/>
        <v>219263.15789473685</v>
      </c>
      <c r="G48" s="107">
        <f t="shared" si="7"/>
        <v>9788.5338345864657</v>
      </c>
      <c r="H48" s="107">
        <f t="shared" si="4"/>
        <v>229051.69172932333</v>
      </c>
      <c r="I48" s="76">
        <f t="shared" si="2"/>
        <v>12231360.338345852</v>
      </c>
      <c r="J48" s="53"/>
      <c r="K48" s="33"/>
      <c r="L48" s="38"/>
      <c r="M48" s="39"/>
      <c r="N48" s="33"/>
    </row>
    <row r="49" spans="2:14" x14ac:dyDescent="0.2">
      <c r="B49" s="290">
        <f t="shared" si="1"/>
        <v>26</v>
      </c>
      <c r="C49" s="265"/>
      <c r="D49" s="70">
        <f t="shared" si="3"/>
        <v>45710</v>
      </c>
      <c r="E49" s="170" t="s">
        <v>213</v>
      </c>
      <c r="F49" s="71">
        <f t="shared" si="7"/>
        <v>219263.15789473685</v>
      </c>
      <c r="G49" s="107">
        <f t="shared" si="7"/>
        <v>9788.5338345864657</v>
      </c>
      <c r="H49" s="107">
        <f t="shared" si="4"/>
        <v>229051.69172932333</v>
      </c>
      <c r="I49" s="76">
        <f t="shared" si="2"/>
        <v>12002308.646616528</v>
      </c>
      <c r="J49" s="53"/>
      <c r="K49" s="33"/>
      <c r="L49" s="38"/>
      <c r="M49" s="39"/>
      <c r="N49" s="33"/>
    </row>
    <row r="50" spans="2:14" x14ac:dyDescent="0.2">
      <c r="B50" s="290">
        <f t="shared" si="1"/>
        <v>27</v>
      </c>
      <c r="C50" s="265"/>
      <c r="D50" s="70">
        <f t="shared" si="3"/>
        <v>45738</v>
      </c>
      <c r="E50" s="170" t="s">
        <v>214</v>
      </c>
      <c r="F50" s="71">
        <f t="shared" si="7"/>
        <v>219263.15789473685</v>
      </c>
      <c r="G50" s="107">
        <f t="shared" si="7"/>
        <v>9788.5338345864657</v>
      </c>
      <c r="H50" s="107">
        <f t="shared" si="4"/>
        <v>229051.69172932333</v>
      </c>
      <c r="I50" s="76">
        <f t="shared" si="2"/>
        <v>11773256.954887204</v>
      </c>
      <c r="J50" s="53"/>
      <c r="K50" s="33"/>
      <c r="L50" s="38"/>
      <c r="M50" s="39"/>
      <c r="N50" s="33"/>
    </row>
    <row r="51" spans="2:14" x14ac:dyDescent="0.2">
      <c r="B51" s="290">
        <f t="shared" si="1"/>
        <v>28</v>
      </c>
      <c r="C51" s="265"/>
      <c r="D51" s="70">
        <f t="shared" si="3"/>
        <v>45769</v>
      </c>
      <c r="E51" s="170" t="s">
        <v>215</v>
      </c>
      <c r="F51" s="71">
        <f t="shared" ref="F51:G66" si="8">F50</f>
        <v>219263.15789473685</v>
      </c>
      <c r="G51" s="107">
        <f t="shared" si="8"/>
        <v>9788.5338345864657</v>
      </c>
      <c r="H51" s="107">
        <f t="shared" si="4"/>
        <v>229051.69172932333</v>
      </c>
      <c r="I51" s="76">
        <f t="shared" si="2"/>
        <v>11544205.26315788</v>
      </c>
      <c r="J51" s="53"/>
      <c r="K51" s="33"/>
      <c r="L51" s="38"/>
      <c r="M51" s="39"/>
      <c r="N51" s="33"/>
    </row>
    <row r="52" spans="2:14" x14ac:dyDescent="0.2">
      <c r="B52" s="290">
        <f t="shared" si="1"/>
        <v>29</v>
      </c>
      <c r="C52" s="265"/>
      <c r="D52" s="70">
        <f t="shared" si="3"/>
        <v>45799</v>
      </c>
      <c r="E52" s="170" t="s">
        <v>216</v>
      </c>
      <c r="F52" s="71">
        <f t="shared" si="8"/>
        <v>219263.15789473685</v>
      </c>
      <c r="G52" s="107">
        <f t="shared" si="8"/>
        <v>9788.5338345864657</v>
      </c>
      <c r="H52" s="107">
        <f t="shared" si="4"/>
        <v>229051.69172932333</v>
      </c>
      <c r="I52" s="76">
        <f t="shared" si="2"/>
        <v>11315153.571428556</v>
      </c>
      <c r="J52" s="53"/>
      <c r="K52" s="33"/>
      <c r="L52" s="38"/>
      <c r="M52" s="39"/>
      <c r="N52" s="33"/>
    </row>
    <row r="53" spans="2:14" x14ac:dyDescent="0.2">
      <c r="B53" s="290">
        <f t="shared" si="1"/>
        <v>30</v>
      </c>
      <c r="C53" s="265"/>
      <c r="D53" s="70">
        <f t="shared" si="3"/>
        <v>45830</v>
      </c>
      <c r="E53" s="170" t="s">
        <v>217</v>
      </c>
      <c r="F53" s="71">
        <f t="shared" si="8"/>
        <v>219263.15789473685</v>
      </c>
      <c r="G53" s="107">
        <f t="shared" si="8"/>
        <v>9788.5338345864657</v>
      </c>
      <c r="H53" s="107">
        <f t="shared" si="4"/>
        <v>229051.69172932333</v>
      </c>
      <c r="I53" s="76">
        <f t="shared" si="2"/>
        <v>11086101.879699232</v>
      </c>
      <c r="J53" s="53"/>
      <c r="K53" s="33"/>
      <c r="L53" s="38"/>
      <c r="M53" s="39"/>
      <c r="N53" s="33"/>
    </row>
    <row r="54" spans="2:14" x14ac:dyDescent="0.2">
      <c r="B54" s="290">
        <f t="shared" si="1"/>
        <v>31</v>
      </c>
      <c r="C54" s="265"/>
      <c r="D54" s="70">
        <f t="shared" si="3"/>
        <v>45860</v>
      </c>
      <c r="E54" s="170" t="s">
        <v>218</v>
      </c>
      <c r="F54" s="71">
        <f t="shared" si="8"/>
        <v>219263.15789473685</v>
      </c>
      <c r="G54" s="107">
        <f t="shared" si="8"/>
        <v>9788.5338345864657</v>
      </c>
      <c r="H54" s="107">
        <f t="shared" si="4"/>
        <v>229051.69172932333</v>
      </c>
      <c r="I54" s="76">
        <f t="shared" si="2"/>
        <v>10857050.187969908</v>
      </c>
      <c r="J54" s="53"/>
      <c r="K54" s="33"/>
      <c r="L54" s="38"/>
      <c r="M54" s="39"/>
      <c r="N54" s="33"/>
    </row>
    <row r="55" spans="2:14" x14ac:dyDescent="0.2">
      <c r="B55" s="290">
        <f t="shared" si="1"/>
        <v>32</v>
      </c>
      <c r="C55" s="265"/>
      <c r="D55" s="70">
        <f t="shared" si="3"/>
        <v>45891</v>
      </c>
      <c r="E55" s="170" t="s">
        <v>219</v>
      </c>
      <c r="F55" s="71">
        <f t="shared" si="8"/>
        <v>219263.15789473685</v>
      </c>
      <c r="G55" s="107">
        <f t="shared" si="8"/>
        <v>9788.5338345864657</v>
      </c>
      <c r="H55" s="107">
        <f t="shared" si="4"/>
        <v>229051.69172932333</v>
      </c>
      <c r="I55" s="76">
        <f t="shared" si="2"/>
        <v>10627998.496240584</v>
      </c>
      <c r="J55" s="53"/>
      <c r="K55" s="33"/>
      <c r="L55" s="38"/>
      <c r="M55" s="39"/>
      <c r="N55" s="33"/>
    </row>
    <row r="56" spans="2:14" x14ac:dyDescent="0.2">
      <c r="B56" s="290">
        <f t="shared" si="1"/>
        <v>33</v>
      </c>
      <c r="C56" s="265"/>
      <c r="D56" s="70">
        <f t="shared" si="3"/>
        <v>45922</v>
      </c>
      <c r="E56" s="170" t="s">
        <v>220</v>
      </c>
      <c r="F56" s="71">
        <f t="shared" si="8"/>
        <v>219263.15789473685</v>
      </c>
      <c r="G56" s="107">
        <f t="shared" si="8"/>
        <v>9788.5338345864657</v>
      </c>
      <c r="H56" s="107">
        <f t="shared" si="4"/>
        <v>229051.69172932333</v>
      </c>
      <c r="I56" s="76">
        <f t="shared" si="2"/>
        <v>10398946.80451126</v>
      </c>
      <c r="J56" s="53"/>
      <c r="K56" s="33"/>
      <c r="L56" s="38"/>
      <c r="M56" s="39"/>
      <c r="N56" s="33"/>
    </row>
    <row r="57" spans="2:14" x14ac:dyDescent="0.2">
      <c r="B57" s="290">
        <f t="shared" si="1"/>
        <v>34</v>
      </c>
      <c r="C57" s="265"/>
      <c r="D57" s="70">
        <f t="shared" si="3"/>
        <v>45952</v>
      </c>
      <c r="E57" s="170" t="s">
        <v>221</v>
      </c>
      <c r="F57" s="71">
        <f t="shared" si="8"/>
        <v>219263.15789473685</v>
      </c>
      <c r="G57" s="107">
        <f t="shared" si="8"/>
        <v>9788.5338345864657</v>
      </c>
      <c r="H57" s="107">
        <f t="shared" si="4"/>
        <v>229051.69172932333</v>
      </c>
      <c r="I57" s="76">
        <f t="shared" si="2"/>
        <v>10169895.112781936</v>
      </c>
      <c r="J57" s="53"/>
      <c r="K57" s="33"/>
      <c r="L57" s="38"/>
      <c r="M57" s="39"/>
      <c r="N57" s="33"/>
    </row>
    <row r="58" spans="2:14" x14ac:dyDescent="0.2">
      <c r="B58" s="290">
        <f t="shared" si="1"/>
        <v>35</v>
      </c>
      <c r="C58" s="265"/>
      <c r="D58" s="70">
        <f t="shared" si="3"/>
        <v>45983</v>
      </c>
      <c r="E58" s="170" t="s">
        <v>222</v>
      </c>
      <c r="F58" s="71">
        <f t="shared" si="8"/>
        <v>219263.15789473685</v>
      </c>
      <c r="G58" s="107">
        <f t="shared" si="8"/>
        <v>9788.5338345864657</v>
      </c>
      <c r="H58" s="107">
        <f t="shared" si="4"/>
        <v>229051.69172932333</v>
      </c>
      <c r="I58" s="76">
        <f t="shared" si="2"/>
        <v>9940843.4210526124</v>
      </c>
      <c r="J58" s="53"/>
      <c r="K58" s="33"/>
      <c r="L58" s="38"/>
      <c r="M58" s="39"/>
      <c r="N58" s="33"/>
    </row>
    <row r="59" spans="2:14" x14ac:dyDescent="0.2">
      <c r="B59" s="290">
        <f t="shared" si="1"/>
        <v>36</v>
      </c>
      <c r="C59" s="265"/>
      <c r="D59" s="70">
        <f t="shared" si="3"/>
        <v>46013</v>
      </c>
      <c r="E59" s="170" t="s">
        <v>223</v>
      </c>
      <c r="F59" s="71">
        <f t="shared" si="8"/>
        <v>219263.15789473685</v>
      </c>
      <c r="G59" s="107">
        <f t="shared" si="8"/>
        <v>9788.5338345864657</v>
      </c>
      <c r="H59" s="107">
        <f t="shared" si="4"/>
        <v>229051.69172932333</v>
      </c>
      <c r="I59" s="76">
        <f t="shared" si="2"/>
        <v>9711791.7293232884</v>
      </c>
      <c r="J59" s="53"/>
      <c r="K59" s="33"/>
      <c r="L59" s="38"/>
      <c r="M59" s="39"/>
      <c r="N59" s="33"/>
    </row>
    <row r="60" spans="2:14" x14ac:dyDescent="0.2">
      <c r="B60" s="290">
        <f t="shared" si="1"/>
        <v>37</v>
      </c>
      <c r="C60" s="265"/>
      <c r="D60" s="70">
        <f t="shared" si="3"/>
        <v>46044</v>
      </c>
      <c r="E60" s="170" t="s">
        <v>224</v>
      </c>
      <c r="F60" s="71">
        <f t="shared" si="8"/>
        <v>219263.15789473685</v>
      </c>
      <c r="G60" s="107">
        <f t="shared" si="8"/>
        <v>9788.5338345864657</v>
      </c>
      <c r="H60" s="107">
        <f t="shared" si="4"/>
        <v>229051.69172932333</v>
      </c>
      <c r="I60" s="76">
        <f t="shared" si="2"/>
        <v>9482740.0375939645</v>
      </c>
      <c r="J60" s="53"/>
      <c r="K60" s="33"/>
      <c r="L60" s="38"/>
      <c r="M60" s="39"/>
      <c r="N60" s="33"/>
    </row>
    <row r="61" spans="2:14" x14ac:dyDescent="0.2">
      <c r="B61" s="290">
        <f t="shared" si="1"/>
        <v>38</v>
      </c>
      <c r="C61" s="265"/>
      <c r="D61" s="70">
        <f t="shared" si="3"/>
        <v>46075</v>
      </c>
      <c r="E61" s="170" t="s">
        <v>225</v>
      </c>
      <c r="F61" s="71">
        <f t="shared" si="8"/>
        <v>219263.15789473685</v>
      </c>
      <c r="G61" s="107">
        <f t="shared" si="8"/>
        <v>9788.5338345864657</v>
      </c>
      <c r="H61" s="107">
        <f t="shared" si="4"/>
        <v>229051.69172932333</v>
      </c>
      <c r="I61" s="76">
        <f t="shared" si="2"/>
        <v>9253688.3458646405</v>
      </c>
      <c r="J61" s="53"/>
      <c r="K61" s="33"/>
      <c r="L61" s="38"/>
      <c r="M61" s="39"/>
      <c r="N61" s="33"/>
    </row>
    <row r="62" spans="2:14" x14ac:dyDescent="0.2">
      <c r="B62" s="290">
        <f t="shared" si="1"/>
        <v>39</v>
      </c>
      <c r="C62" s="265"/>
      <c r="D62" s="70">
        <f t="shared" si="3"/>
        <v>46103</v>
      </c>
      <c r="E62" s="170" t="s">
        <v>226</v>
      </c>
      <c r="F62" s="71">
        <f t="shared" si="8"/>
        <v>219263.15789473685</v>
      </c>
      <c r="G62" s="107">
        <f t="shared" si="8"/>
        <v>9788.5338345864657</v>
      </c>
      <c r="H62" s="107">
        <f t="shared" si="4"/>
        <v>229051.69172932333</v>
      </c>
      <c r="I62" s="76">
        <f t="shared" si="2"/>
        <v>9024636.6541353166</v>
      </c>
      <c r="J62" s="53"/>
      <c r="K62" s="33"/>
      <c r="L62" s="38"/>
      <c r="M62" s="39"/>
      <c r="N62" s="33"/>
    </row>
    <row r="63" spans="2:14" x14ac:dyDescent="0.2">
      <c r="B63" s="290">
        <f t="shared" si="1"/>
        <v>40</v>
      </c>
      <c r="C63" s="265"/>
      <c r="D63" s="70">
        <f t="shared" si="3"/>
        <v>46134</v>
      </c>
      <c r="E63" s="170" t="s">
        <v>227</v>
      </c>
      <c r="F63" s="71">
        <f t="shared" si="8"/>
        <v>219263.15789473685</v>
      </c>
      <c r="G63" s="107">
        <f t="shared" si="8"/>
        <v>9788.5338345864657</v>
      </c>
      <c r="H63" s="107">
        <f t="shared" si="4"/>
        <v>229051.69172932333</v>
      </c>
      <c r="I63" s="76">
        <f t="shared" si="2"/>
        <v>8795584.9624059927</v>
      </c>
      <c r="J63" s="53"/>
      <c r="K63" s="33"/>
      <c r="L63" s="38"/>
      <c r="M63" s="39"/>
      <c r="N63" s="33"/>
    </row>
    <row r="64" spans="2:14" x14ac:dyDescent="0.2">
      <c r="B64" s="290">
        <f t="shared" si="1"/>
        <v>41</v>
      </c>
      <c r="C64" s="265"/>
      <c r="D64" s="70">
        <f t="shared" si="3"/>
        <v>46164</v>
      </c>
      <c r="E64" s="170" t="s">
        <v>228</v>
      </c>
      <c r="F64" s="71">
        <f t="shared" si="8"/>
        <v>219263.15789473685</v>
      </c>
      <c r="G64" s="107">
        <f t="shared" si="8"/>
        <v>9788.5338345864657</v>
      </c>
      <c r="H64" s="107">
        <f t="shared" si="4"/>
        <v>229051.69172932333</v>
      </c>
      <c r="I64" s="76">
        <f t="shared" si="2"/>
        <v>8566533.2706766687</v>
      </c>
      <c r="J64" s="53"/>
      <c r="K64" s="33"/>
      <c r="L64" s="38"/>
      <c r="M64" s="39"/>
      <c r="N64" s="33"/>
    </row>
    <row r="65" spans="2:18" x14ac:dyDescent="0.2">
      <c r="B65" s="290">
        <f t="shared" si="1"/>
        <v>42</v>
      </c>
      <c r="C65" s="265"/>
      <c r="D65" s="70">
        <f t="shared" si="3"/>
        <v>46195</v>
      </c>
      <c r="E65" s="170" t="s">
        <v>229</v>
      </c>
      <c r="F65" s="71">
        <f t="shared" si="8"/>
        <v>219263.15789473685</v>
      </c>
      <c r="G65" s="107">
        <f t="shared" si="8"/>
        <v>9788.5338345864657</v>
      </c>
      <c r="H65" s="107">
        <f t="shared" si="4"/>
        <v>229051.69172932333</v>
      </c>
      <c r="I65" s="76">
        <f t="shared" si="2"/>
        <v>8337481.5789473457</v>
      </c>
      <c r="J65" s="53"/>
      <c r="K65" s="33"/>
      <c r="L65" s="38"/>
      <c r="M65" s="39"/>
      <c r="N65" s="33"/>
    </row>
    <row r="66" spans="2:18" x14ac:dyDescent="0.2">
      <c r="B66" s="290">
        <f t="shared" si="1"/>
        <v>43</v>
      </c>
      <c r="C66" s="265"/>
      <c r="D66" s="70">
        <f t="shared" si="3"/>
        <v>46225</v>
      </c>
      <c r="E66" s="170" t="s">
        <v>230</v>
      </c>
      <c r="F66" s="71">
        <f t="shared" si="8"/>
        <v>219263.15789473685</v>
      </c>
      <c r="G66" s="107">
        <f t="shared" si="8"/>
        <v>9788.5338345864657</v>
      </c>
      <c r="H66" s="107">
        <f t="shared" si="4"/>
        <v>229051.69172932333</v>
      </c>
      <c r="I66" s="76">
        <f t="shared" si="2"/>
        <v>8108429.8872180227</v>
      </c>
      <c r="J66" s="53"/>
      <c r="K66" s="33"/>
      <c r="L66" s="38"/>
      <c r="M66" s="39"/>
      <c r="N66" s="33"/>
    </row>
    <row r="67" spans="2:18" x14ac:dyDescent="0.2">
      <c r="B67" s="290">
        <f t="shared" si="1"/>
        <v>44</v>
      </c>
      <c r="C67" s="265"/>
      <c r="D67" s="70">
        <f t="shared" si="3"/>
        <v>46256</v>
      </c>
      <c r="E67" s="170" t="s">
        <v>231</v>
      </c>
      <c r="F67" s="71">
        <f t="shared" ref="F67:G69" si="9">F66</f>
        <v>219263.15789473685</v>
      </c>
      <c r="G67" s="107">
        <f t="shared" si="9"/>
        <v>9788.5338345864657</v>
      </c>
      <c r="H67" s="107">
        <f t="shared" si="4"/>
        <v>229051.69172932333</v>
      </c>
      <c r="I67" s="76">
        <f t="shared" si="2"/>
        <v>7879378.1954886997</v>
      </c>
      <c r="J67" s="53"/>
      <c r="K67" s="33"/>
      <c r="L67" s="38"/>
      <c r="M67" s="39"/>
      <c r="N67" s="33"/>
    </row>
    <row r="68" spans="2:18" x14ac:dyDescent="0.2">
      <c r="B68" s="290">
        <f t="shared" si="1"/>
        <v>45</v>
      </c>
      <c r="C68" s="265"/>
      <c r="D68" s="70">
        <f t="shared" si="3"/>
        <v>46287</v>
      </c>
      <c r="E68" s="170" t="s">
        <v>232</v>
      </c>
      <c r="F68" s="71">
        <f t="shared" si="9"/>
        <v>219263.15789473685</v>
      </c>
      <c r="G68" s="107">
        <f t="shared" si="9"/>
        <v>9788.5338345864657</v>
      </c>
      <c r="H68" s="108">
        <f>SUM(F68:G68)</f>
        <v>229051.69172932333</v>
      </c>
      <c r="I68" s="76">
        <f t="shared" si="2"/>
        <v>7650326.5037593767</v>
      </c>
      <c r="J68" s="53"/>
      <c r="K68" s="33"/>
      <c r="L68" s="38"/>
      <c r="M68" s="39"/>
      <c r="N68" s="33"/>
    </row>
    <row r="69" spans="2:18" x14ac:dyDescent="0.2">
      <c r="B69" s="290">
        <f t="shared" si="1"/>
        <v>46</v>
      </c>
      <c r="C69" s="265"/>
      <c r="D69" s="70">
        <f t="shared" si="3"/>
        <v>46317</v>
      </c>
      <c r="E69" s="170" t="s">
        <v>233</v>
      </c>
      <c r="F69" s="71">
        <f t="shared" si="9"/>
        <v>219263.15789473685</v>
      </c>
      <c r="G69" s="107">
        <f t="shared" si="9"/>
        <v>9788.5338345864657</v>
      </c>
      <c r="H69" s="108">
        <f t="shared" ref="H69:H71" si="10">SUM(F69:G69)</f>
        <v>229051.69172932333</v>
      </c>
      <c r="I69" s="76">
        <f t="shared" si="2"/>
        <v>7421274.8120300537</v>
      </c>
      <c r="J69" s="53"/>
      <c r="K69" s="33"/>
      <c r="L69" s="38"/>
      <c r="M69" s="39"/>
      <c r="N69" s="33"/>
    </row>
    <row r="70" spans="2:18" x14ac:dyDescent="0.2">
      <c r="B70" s="290">
        <f t="shared" si="1"/>
        <v>47</v>
      </c>
      <c r="C70" s="265"/>
      <c r="D70" s="70">
        <f t="shared" si="3"/>
        <v>46348</v>
      </c>
      <c r="E70" s="170" t="s">
        <v>234</v>
      </c>
      <c r="F70" s="71">
        <f t="shared" ref="F70:G70" si="11">F69</f>
        <v>219263.15789473685</v>
      </c>
      <c r="G70" s="107">
        <f t="shared" si="11"/>
        <v>9788.5338345864657</v>
      </c>
      <c r="H70" s="108">
        <f t="shared" si="10"/>
        <v>229051.69172932333</v>
      </c>
      <c r="I70" s="76">
        <f t="shared" si="2"/>
        <v>7192223.1203007307</v>
      </c>
      <c r="J70" s="53"/>
      <c r="K70" s="33"/>
      <c r="L70" s="38"/>
      <c r="M70" s="39"/>
      <c r="N70" s="33"/>
    </row>
    <row r="71" spans="2:18" x14ac:dyDescent="0.2">
      <c r="B71" s="290">
        <f t="shared" si="1"/>
        <v>48</v>
      </c>
      <c r="C71" s="265"/>
      <c r="D71" s="70">
        <f t="shared" si="3"/>
        <v>46378</v>
      </c>
      <c r="E71" s="170" t="s">
        <v>235</v>
      </c>
      <c r="F71" s="71">
        <f t="shared" ref="F71:G71" si="12">F70</f>
        <v>219263.15789473685</v>
      </c>
      <c r="G71" s="107">
        <f t="shared" si="12"/>
        <v>9788.5338345864657</v>
      </c>
      <c r="H71" s="108">
        <f t="shared" si="10"/>
        <v>229051.69172932333</v>
      </c>
      <c r="I71" s="76">
        <f t="shared" si="2"/>
        <v>6963171.4285714077</v>
      </c>
      <c r="J71" s="53"/>
      <c r="K71" s="33"/>
      <c r="L71" s="38"/>
      <c r="M71" s="39"/>
      <c r="N71" s="33"/>
    </row>
    <row r="72" spans="2:18" ht="15.75" thickBot="1" x14ac:dyDescent="0.25">
      <c r="B72" s="290">
        <f t="shared" si="1"/>
        <v>49</v>
      </c>
      <c r="C72" s="265"/>
      <c r="D72" s="70">
        <f t="shared" si="3"/>
        <v>46409</v>
      </c>
      <c r="E72" s="170" t="s">
        <v>143</v>
      </c>
      <c r="F72" s="100">
        <f>(D15-SUM(D16:D17))*40%</f>
        <v>6665600</v>
      </c>
      <c r="G72" s="100">
        <f>D18*40%</f>
        <v>297571.42857142858</v>
      </c>
      <c r="H72" s="108">
        <f>SUM(F72:G72)</f>
        <v>6963171.4285714282</v>
      </c>
      <c r="I72" s="76">
        <f t="shared" si="2"/>
        <v>-2.0489096641540527E-8</v>
      </c>
      <c r="J72" s="53"/>
      <c r="K72" s="33"/>
      <c r="L72" s="38"/>
      <c r="M72" s="39"/>
      <c r="N72" s="33"/>
    </row>
    <row r="73" spans="2:18" ht="15.75" thickBot="1" x14ac:dyDescent="0.25">
      <c r="B73" s="54"/>
      <c r="C73" s="55"/>
      <c r="D73" s="56"/>
      <c r="E73" s="57" t="s">
        <v>81</v>
      </c>
      <c r="F73" s="58">
        <f>SUM(F22:F72)</f>
        <v>16664000.000000002</v>
      </c>
      <c r="G73" s="58">
        <f>SUM(G24:G72)</f>
        <v>743928.57142857113</v>
      </c>
      <c r="H73" s="58">
        <f>SUM(H22:H72)</f>
        <v>17407928.571428571</v>
      </c>
      <c r="I73" s="59"/>
      <c r="J73" s="33"/>
      <c r="K73" s="33"/>
      <c r="L73" s="38">
        <f>SUM(L22:L68)</f>
        <v>56000</v>
      </c>
      <c r="M73" s="39">
        <f>L73-F73</f>
        <v>-16608000.000000002</v>
      </c>
      <c r="N73" s="33"/>
    </row>
    <row r="74" spans="2:18" x14ac:dyDescent="0.2">
      <c r="D74" s="60"/>
      <c r="L74" s="61"/>
    </row>
    <row r="75" spans="2:18" x14ac:dyDescent="0.2">
      <c r="B75" s="62" t="s">
        <v>82</v>
      </c>
      <c r="C75" s="62"/>
      <c r="D75" s="60"/>
      <c r="M75" s="33"/>
      <c r="N75" s="38"/>
      <c r="O75" s="33"/>
      <c r="P75" s="33"/>
      <c r="Q75" s="65"/>
      <c r="R75" s="65"/>
    </row>
    <row r="76" spans="2:18" ht="15" customHeight="1" x14ac:dyDescent="0.2">
      <c r="B76" s="261" t="str">
        <f>IF(INPUT!$D$43="Sycamore Heights",Classic_Mem_Cash!$B$60,Classic_Mem_Cash!$B$78)</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76" s="261"/>
      <c r="D76" s="261"/>
      <c r="E76" s="261"/>
      <c r="F76" s="261"/>
      <c r="G76" s="261"/>
      <c r="H76" s="261"/>
      <c r="I76" s="261"/>
      <c r="J76" s="111"/>
      <c r="K76" s="111"/>
      <c r="M76" s="33"/>
      <c r="N76" s="33"/>
      <c r="O76" s="33"/>
      <c r="P76" s="33"/>
      <c r="Q76" s="65"/>
      <c r="R76" s="65"/>
    </row>
    <row r="77" spans="2:18" ht="15" customHeight="1" x14ac:dyDescent="0.2">
      <c r="B77" s="261"/>
      <c r="C77" s="261"/>
      <c r="D77" s="261"/>
      <c r="E77" s="261"/>
      <c r="F77" s="261"/>
      <c r="G77" s="261"/>
      <c r="H77" s="261"/>
      <c r="I77" s="261"/>
      <c r="J77" s="260"/>
      <c r="K77" s="260"/>
      <c r="M77" s="33"/>
      <c r="N77" s="33"/>
      <c r="O77" s="33"/>
      <c r="P77" s="33"/>
      <c r="Q77" s="65"/>
      <c r="R77" s="65"/>
    </row>
    <row r="78" spans="2:18" ht="15" customHeight="1" x14ac:dyDescent="0.2">
      <c r="B78" s="261"/>
      <c r="C78" s="261"/>
      <c r="D78" s="261"/>
      <c r="E78" s="261"/>
      <c r="F78" s="261"/>
      <c r="G78" s="261"/>
      <c r="H78" s="261"/>
      <c r="I78" s="261"/>
      <c r="J78" s="260"/>
      <c r="K78" s="260"/>
      <c r="M78" s="33"/>
      <c r="N78" s="33"/>
      <c r="O78" s="33"/>
      <c r="P78" s="33"/>
      <c r="Q78" s="65"/>
      <c r="R78" s="65"/>
    </row>
    <row r="79" spans="2:18" x14ac:dyDescent="0.2">
      <c r="B79" s="261"/>
      <c r="C79" s="261"/>
      <c r="D79" s="261"/>
      <c r="E79" s="261"/>
      <c r="F79" s="261"/>
      <c r="G79" s="261"/>
      <c r="H79" s="261"/>
      <c r="I79" s="261"/>
      <c r="J79" s="260"/>
      <c r="K79" s="260"/>
      <c r="M79" s="33"/>
      <c r="N79" s="33"/>
      <c r="O79" s="33"/>
      <c r="P79" s="33"/>
      <c r="Q79" s="65"/>
      <c r="R79" s="65"/>
    </row>
    <row r="80" spans="2:18" ht="58.5" customHeight="1" x14ac:dyDescent="0.2">
      <c r="B80" s="261"/>
      <c r="C80" s="261"/>
      <c r="D80" s="261"/>
      <c r="E80" s="261"/>
      <c r="F80" s="261"/>
      <c r="G80" s="261"/>
      <c r="H80" s="261"/>
      <c r="I80" s="261"/>
      <c r="J80" s="260"/>
      <c r="K80" s="260"/>
      <c r="M80" s="33"/>
      <c r="N80" s="33"/>
      <c r="O80" s="33"/>
      <c r="P80" s="33"/>
      <c r="Q80" s="65"/>
      <c r="R80" s="65"/>
    </row>
    <row r="81" spans="1:18" ht="6.75" hidden="1" customHeight="1" x14ac:dyDescent="0.2">
      <c r="B81" s="261"/>
      <c r="C81" s="261"/>
      <c r="D81" s="261"/>
      <c r="E81" s="261"/>
      <c r="F81" s="261"/>
      <c r="G81" s="261"/>
      <c r="H81" s="261"/>
      <c r="I81" s="261"/>
      <c r="J81" s="260"/>
      <c r="K81" s="260"/>
      <c r="M81" s="33"/>
      <c r="N81" s="33"/>
      <c r="O81" s="33"/>
      <c r="P81" s="33"/>
      <c r="Q81" s="65"/>
      <c r="R81" s="65"/>
    </row>
    <row r="82" spans="1:18" ht="49.5" customHeight="1" x14ac:dyDescent="0.2">
      <c r="B82" s="261"/>
      <c r="C82" s="261"/>
      <c r="D82" s="261"/>
      <c r="E82" s="261"/>
      <c r="F82" s="261"/>
      <c r="G82" s="261"/>
      <c r="H82" s="261"/>
      <c r="I82" s="261"/>
      <c r="J82" s="260"/>
      <c r="K82" s="260"/>
      <c r="M82" s="33"/>
      <c r="N82" s="33"/>
      <c r="O82" s="33"/>
      <c r="P82" s="33"/>
      <c r="Q82" s="65"/>
      <c r="R82" s="65"/>
    </row>
    <row r="83" spans="1:18" ht="7.5" hidden="1" customHeight="1" x14ac:dyDescent="0.2">
      <c r="B83" s="261"/>
      <c r="C83" s="261"/>
      <c r="D83" s="261"/>
      <c r="E83" s="261"/>
      <c r="F83" s="261"/>
      <c r="G83" s="261"/>
      <c r="H83" s="261"/>
      <c r="I83" s="261"/>
      <c r="J83" s="260"/>
      <c r="K83" s="260"/>
      <c r="M83" s="33"/>
      <c r="N83" s="33"/>
      <c r="O83" s="33"/>
      <c r="P83" s="33"/>
      <c r="Q83" s="65"/>
      <c r="R83" s="65"/>
    </row>
    <row r="84" spans="1:18" ht="30" customHeight="1" x14ac:dyDescent="0.2">
      <c r="B84" s="261"/>
      <c r="C84" s="261"/>
      <c r="D84" s="261"/>
      <c r="E84" s="261"/>
      <c r="F84" s="261"/>
      <c r="G84" s="261"/>
      <c r="H84" s="261"/>
      <c r="I84" s="261"/>
      <c r="J84" s="260"/>
      <c r="K84" s="260"/>
      <c r="M84" s="33"/>
      <c r="N84" s="33"/>
      <c r="O84" s="33"/>
      <c r="P84" s="33"/>
      <c r="Q84" s="65"/>
      <c r="R84" s="65"/>
    </row>
    <row r="85" spans="1:18" hidden="1" x14ac:dyDescent="0.2">
      <c r="B85" s="63"/>
      <c r="C85" s="63"/>
      <c r="M85" s="33"/>
      <c r="N85" s="33"/>
      <c r="O85" s="33"/>
      <c r="P85" s="33"/>
      <c r="Q85" s="65"/>
      <c r="R85" s="65"/>
    </row>
    <row r="86" spans="1:18" hidden="1" x14ac:dyDescent="0.2">
      <c r="B86" s="64"/>
      <c r="C86" s="64"/>
      <c r="M86" s="33"/>
      <c r="N86" s="33"/>
      <c r="O86" s="33"/>
      <c r="P86" s="33"/>
      <c r="Q86" s="65"/>
      <c r="R86" s="65"/>
    </row>
    <row r="87" spans="1:18" hidden="1" x14ac:dyDescent="0.2">
      <c r="B87" s="64"/>
      <c r="C87" s="64"/>
      <c r="M87" s="33"/>
      <c r="N87" s="33"/>
      <c r="O87" s="33"/>
      <c r="P87" s="33"/>
      <c r="Q87" s="65"/>
      <c r="R87" s="65"/>
    </row>
    <row r="88" spans="1:18" hidden="1" x14ac:dyDescent="0.2">
      <c r="B88" s="64"/>
      <c r="C88" s="64"/>
      <c r="M88" s="33"/>
      <c r="N88" s="33"/>
      <c r="O88" s="33"/>
      <c r="P88" s="33"/>
      <c r="Q88" s="65"/>
      <c r="R88" s="65"/>
    </row>
    <row r="89" spans="1:18" hidden="1" x14ac:dyDescent="0.2">
      <c r="B89" s="64"/>
      <c r="C89" s="64"/>
      <c r="M89" s="33"/>
      <c r="N89" s="33"/>
      <c r="O89" s="33"/>
      <c r="P89" s="33"/>
      <c r="Q89" s="65"/>
      <c r="R89" s="65"/>
    </row>
    <row r="90" spans="1:18" s="65" customFormat="1" hidden="1" x14ac:dyDescent="0.2">
      <c r="A90" s="22"/>
      <c r="B90" s="64"/>
      <c r="C90" s="64"/>
      <c r="M90" s="33"/>
      <c r="N90" s="33"/>
      <c r="O90" s="33"/>
      <c r="P90" s="33"/>
    </row>
    <row r="91" spans="1:18" hidden="1" x14ac:dyDescent="0.2">
      <c r="M91" s="33"/>
      <c r="N91" s="33"/>
      <c r="O91" s="33"/>
      <c r="P91" s="33"/>
      <c r="Q91" s="65"/>
      <c r="R91" s="65"/>
    </row>
    <row r="92" spans="1:18" x14ac:dyDescent="0.2">
      <c r="B92" s="66" t="s">
        <v>84</v>
      </c>
      <c r="C92" s="66"/>
      <c r="M92" s="33"/>
      <c r="N92" s="33"/>
      <c r="O92" s="33"/>
      <c r="P92" s="33"/>
      <c r="Q92" s="65"/>
      <c r="R92" s="65"/>
    </row>
    <row r="93" spans="1:18" x14ac:dyDescent="0.2">
      <c r="M93" s="33"/>
      <c r="N93" s="33"/>
      <c r="O93" s="33"/>
      <c r="P93" s="33"/>
      <c r="Q93" s="65"/>
      <c r="R93" s="65"/>
    </row>
    <row r="94" spans="1:18" x14ac:dyDescent="0.2">
      <c r="M94" s="33"/>
      <c r="N94" s="33"/>
      <c r="O94" s="33"/>
      <c r="P94" s="33"/>
      <c r="Q94" s="65"/>
      <c r="R94" s="65"/>
    </row>
    <row r="95" spans="1:18" x14ac:dyDescent="0.2">
      <c r="B95" s="259" t="s">
        <v>85</v>
      </c>
      <c r="C95" s="259"/>
      <c r="D95" s="259"/>
      <c r="F95" s="259" t="s">
        <v>86</v>
      </c>
      <c r="G95" s="259"/>
      <c r="H95" s="259"/>
      <c r="I95" s="259"/>
      <c r="J95" s="259"/>
      <c r="K95" s="259"/>
      <c r="M95" s="33"/>
      <c r="N95" s="33"/>
      <c r="O95" s="33"/>
      <c r="P95" s="33"/>
      <c r="Q95" s="65"/>
      <c r="R95" s="65"/>
    </row>
    <row r="96" spans="1:18" x14ac:dyDescent="0.2">
      <c r="M96" s="33"/>
      <c r="N96" s="33"/>
      <c r="O96" s="33"/>
      <c r="P96" s="33"/>
      <c r="Q96" s="65"/>
      <c r="R96" s="65"/>
    </row>
    <row r="97" spans="2:28" x14ac:dyDescent="0.2">
      <c r="B97" s="67"/>
      <c r="C97" s="67"/>
      <c r="D97" s="67"/>
      <c r="E97" s="67"/>
      <c r="F97" s="67"/>
      <c r="G97" s="67"/>
      <c r="H97" s="67"/>
      <c r="I97" s="67"/>
      <c r="J97" s="33"/>
      <c r="K97" s="33"/>
      <c r="L97" s="33"/>
      <c r="M97" s="33"/>
      <c r="N97" s="33"/>
      <c r="O97" s="33"/>
      <c r="P97" s="33"/>
      <c r="Q97" s="33"/>
      <c r="R97" s="33"/>
      <c r="S97" s="33"/>
      <c r="T97" s="31"/>
      <c r="U97" s="31"/>
      <c r="V97" s="31"/>
      <c r="W97" s="31"/>
      <c r="X97" s="31"/>
      <c r="Y97" s="31"/>
      <c r="Z97" s="31"/>
      <c r="AA97" s="31"/>
      <c r="AB97" s="31"/>
    </row>
    <row r="98" spans="2:28" x14ac:dyDescent="0.2">
      <c r="B98" s="67"/>
      <c r="C98" s="67"/>
      <c r="D98" s="67"/>
      <c r="E98" s="67"/>
      <c r="F98" s="67"/>
      <c r="G98" s="67"/>
      <c r="H98" s="67"/>
      <c r="I98" s="67"/>
      <c r="J98" s="33"/>
      <c r="K98" s="33"/>
      <c r="L98" s="33"/>
      <c r="M98" s="33"/>
      <c r="N98" s="33"/>
      <c r="O98" s="33"/>
      <c r="P98" s="33"/>
      <c r="Q98" s="33"/>
      <c r="R98" s="33"/>
      <c r="S98" s="33"/>
      <c r="T98" s="31"/>
      <c r="U98" s="31"/>
      <c r="V98" s="31"/>
      <c r="W98" s="31"/>
      <c r="X98" s="31"/>
      <c r="Y98" s="31"/>
      <c r="Z98" s="31"/>
      <c r="AA98" s="31"/>
      <c r="AB98" s="31"/>
    </row>
    <row r="99" spans="2:28" x14ac:dyDescent="0.2">
      <c r="B99" s="67"/>
      <c r="C99" s="67"/>
      <c r="D99" s="67"/>
      <c r="E99" s="67"/>
      <c r="F99" s="67"/>
      <c r="G99" s="67"/>
      <c r="H99" s="67"/>
      <c r="I99" s="67"/>
    </row>
    <row r="100" spans="2:28" x14ac:dyDescent="0.2">
      <c r="B100" s="67"/>
      <c r="C100" s="67"/>
      <c r="D100" s="67"/>
      <c r="E100" s="67"/>
      <c r="F100" s="67"/>
      <c r="G100" s="67"/>
      <c r="H100" s="67"/>
      <c r="I100" s="67"/>
    </row>
    <row r="101" spans="2:28" x14ac:dyDescent="0.2">
      <c r="B101" s="262" t="s">
        <v>144</v>
      </c>
      <c r="C101" s="262"/>
      <c r="D101" s="262"/>
      <c r="E101" s="262"/>
      <c r="F101" s="262"/>
      <c r="G101" s="262"/>
      <c r="H101" s="262"/>
      <c r="I101" s="262"/>
      <c r="J101" s="68"/>
    </row>
    <row r="102" spans="2:28" x14ac:dyDescent="0.2">
      <c r="B102" s="263" t="s">
        <v>145</v>
      </c>
      <c r="C102" s="263"/>
      <c r="D102" s="263"/>
      <c r="E102" s="263"/>
      <c r="F102" s="263"/>
      <c r="G102" s="263"/>
      <c r="H102" s="263"/>
      <c r="I102" s="263"/>
      <c r="J102" s="68"/>
    </row>
    <row r="103" spans="2:28" x14ac:dyDescent="0.2">
      <c r="B103" s="262" t="s">
        <v>146</v>
      </c>
      <c r="C103" s="262"/>
      <c r="D103" s="262"/>
      <c r="E103" s="262"/>
      <c r="F103" s="262"/>
      <c r="G103" s="262"/>
      <c r="H103" s="262"/>
      <c r="I103" s="262"/>
      <c r="J103" s="68"/>
    </row>
    <row r="104" spans="2:28" x14ac:dyDescent="0.2">
      <c r="B104" s="262" t="s">
        <v>147</v>
      </c>
      <c r="C104" s="262"/>
      <c r="D104" s="262"/>
      <c r="E104" s="262"/>
      <c r="F104" s="262"/>
      <c r="G104" s="262"/>
      <c r="H104" s="262"/>
      <c r="I104" s="262"/>
      <c r="J104" s="68"/>
    </row>
    <row r="105" spans="2:28" x14ac:dyDescent="0.2">
      <c r="B105" s="262" t="s">
        <v>148</v>
      </c>
      <c r="C105" s="262"/>
      <c r="D105" s="262"/>
      <c r="E105" s="262"/>
      <c r="F105" s="262"/>
      <c r="G105" s="262"/>
      <c r="H105" s="262"/>
      <c r="I105" s="262"/>
      <c r="J105" s="68"/>
    </row>
    <row r="106" spans="2:28" x14ac:dyDescent="0.2">
      <c r="B106" s="68"/>
      <c r="C106" s="68"/>
      <c r="D106" s="68"/>
      <c r="E106" s="68"/>
      <c r="F106" s="68"/>
      <c r="G106" s="68"/>
      <c r="H106" s="68"/>
      <c r="I106" s="68"/>
      <c r="J106" s="68"/>
    </row>
    <row r="107" spans="2:28" x14ac:dyDescent="0.2">
      <c r="B107" s="67"/>
      <c r="C107" s="67"/>
      <c r="D107" s="67"/>
      <c r="E107" s="67"/>
      <c r="F107" s="67"/>
      <c r="G107" s="67"/>
      <c r="H107" s="67"/>
      <c r="I107" s="67"/>
    </row>
    <row r="108" spans="2:28" x14ac:dyDescent="0.2">
      <c r="B108" s="67"/>
      <c r="C108" s="67"/>
      <c r="D108" s="67"/>
      <c r="E108" s="67"/>
      <c r="F108" s="67"/>
      <c r="G108" s="67"/>
      <c r="H108" s="67"/>
      <c r="I108" s="67"/>
    </row>
    <row r="109" spans="2:28" x14ac:dyDescent="0.2">
      <c r="B109" s="67"/>
      <c r="C109" s="67"/>
      <c r="D109" s="67"/>
      <c r="E109" s="67"/>
      <c r="F109" s="67"/>
      <c r="G109" s="67"/>
      <c r="H109" s="67"/>
      <c r="I109" s="67"/>
    </row>
    <row r="110" spans="2:28" x14ac:dyDescent="0.2">
      <c r="B110" s="67"/>
      <c r="C110" s="67"/>
      <c r="D110" s="67"/>
      <c r="E110" s="67"/>
      <c r="F110" s="67"/>
      <c r="G110" s="67"/>
      <c r="H110" s="67"/>
      <c r="I110" s="67"/>
    </row>
    <row r="114" spans="1:1" x14ac:dyDescent="0.2">
      <c r="A114" s="65"/>
    </row>
  </sheetData>
  <sheetProtection password="C931" sheet="1" selectLockedCells="1"/>
  <mergeCells count="76">
    <mergeCell ref="B103:I103"/>
    <mergeCell ref="B104:I104"/>
    <mergeCell ref="B105:I105"/>
    <mergeCell ref="B101:I101"/>
    <mergeCell ref="B102:I102"/>
    <mergeCell ref="B29:C29"/>
    <mergeCell ref="B30:C30"/>
    <mergeCell ref="B31:C31"/>
    <mergeCell ref="B70:C70"/>
    <mergeCell ref="B71:C71"/>
    <mergeCell ref="B67:C67"/>
    <mergeCell ref="B56:C56"/>
    <mergeCell ref="B57:C57"/>
    <mergeCell ref="B58:C58"/>
    <mergeCell ref="B59:C59"/>
    <mergeCell ref="B60:C60"/>
    <mergeCell ref="B61:C61"/>
    <mergeCell ref="B62:C62"/>
    <mergeCell ref="B63:C63"/>
    <mergeCell ref="B64:C64"/>
    <mergeCell ref="B65:C65"/>
    <mergeCell ref="J83:K83"/>
    <mergeCell ref="J84:K84"/>
    <mergeCell ref="B95:D95"/>
    <mergeCell ref="F95:K95"/>
    <mergeCell ref="B68:C68"/>
    <mergeCell ref="B69:C69"/>
    <mergeCell ref="B72:C72"/>
    <mergeCell ref="B76:I84"/>
    <mergeCell ref="J77:K77"/>
    <mergeCell ref="J78:K78"/>
    <mergeCell ref="J79:K79"/>
    <mergeCell ref="J80:K80"/>
    <mergeCell ref="J81:K81"/>
    <mergeCell ref="J82:K82"/>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25:C25"/>
    <mergeCell ref="B26:C26"/>
    <mergeCell ref="B34:C34"/>
    <mergeCell ref="B35:C35"/>
    <mergeCell ref="B36:C36"/>
    <mergeCell ref="B37:C37"/>
    <mergeCell ref="B38:C38"/>
    <mergeCell ref="B39:C39"/>
    <mergeCell ref="B40:C40"/>
    <mergeCell ref="B41:C41"/>
    <mergeCell ref="B42:C42"/>
    <mergeCell ref="B32:C32"/>
    <mergeCell ref="B33:C33"/>
    <mergeCell ref="B27:C27"/>
    <mergeCell ref="B28:C28"/>
    <mergeCell ref="B24:C24"/>
    <mergeCell ref="L1:L3"/>
    <mergeCell ref="I2:I3"/>
    <mergeCell ref="C6:D6"/>
    <mergeCell ref="C7:D7"/>
    <mergeCell ref="C8:D8"/>
    <mergeCell ref="C9:D9"/>
    <mergeCell ref="B10:B12"/>
    <mergeCell ref="C12:D12"/>
    <mergeCell ref="B21:C21"/>
    <mergeCell ref="B22:C22"/>
    <mergeCell ref="B23:C23"/>
  </mergeCells>
  <hyperlinks>
    <hyperlink ref="L4" location="Input!A1" display="Return to Input" xr:uid="{00000000-0004-0000-0A00-000000000000}"/>
  </hyperlinks>
  <printOptions horizontalCentered="1" verticalCentered="1"/>
  <pageMargins left="0.39370078740157483" right="0.39370078740157483" top="0" bottom="0" header="0.31496062992125984" footer="0.31496062992125984"/>
  <pageSetup paperSize="258" scale="64" orientation="portrait" verticalDpi="4294967293" r:id="rId1"/>
  <rowBreaks count="1" manualBreakCount="1">
    <brk id="74" min="1"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B050"/>
    <pageSetUpPr fitToPage="1"/>
  </sheetPr>
  <dimension ref="A1:AB64"/>
  <sheetViews>
    <sheetView zoomScale="115" zoomScaleNormal="115" zoomScalePageLayoutView="115" workbookViewId="0">
      <selection activeCell="D26" sqref="D26"/>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0" width="9.28125" style="22" hidden="1" customWidth="1"/>
    <col min="11" max="11" width="0" style="22" hidden="1" customWidth="1"/>
    <col min="12" max="12" width="26.09765625" style="22" customWidth="1"/>
    <col min="13" max="13" width="13.3164062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2.25"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t="str">
        <f>IF(OR(INPUT!$D$43="Nob Hill",INPUT!$D$43="Sycamore Heights",INPUT!$D$43="Cotswold"),"NOT APPLICABLE FOR THIS PROJECT",INPUT!$D$47)</f>
        <v>NOT APPLICABLE FOR THIS PROJECT</v>
      </c>
      <c r="D9" s="281"/>
      <c r="L9" s="31"/>
      <c r="M9" s="31"/>
      <c r="N9" s="31"/>
    </row>
    <row r="10" spans="2:28" ht="15.75" thickBot="1" x14ac:dyDescent="0.25">
      <c r="B10" s="137" t="s">
        <v>62</v>
      </c>
      <c r="C10" s="272" t="s">
        <v>49</v>
      </c>
      <c r="D10" s="273"/>
      <c r="L10" s="31"/>
      <c r="M10" s="31"/>
      <c r="N10" s="31"/>
    </row>
    <row r="11" spans="2:28" x14ac:dyDescent="0.2">
      <c r="E11" s="33"/>
      <c r="F11" s="33"/>
      <c r="G11" s="33"/>
      <c r="H11" s="33"/>
      <c r="I11" s="33"/>
      <c r="J11" s="33"/>
      <c r="K11" s="33"/>
      <c r="L11" s="86" t="s">
        <v>150</v>
      </c>
      <c r="M11" s="87">
        <v>0.02</v>
      </c>
      <c r="N11" s="33"/>
    </row>
    <row r="12" spans="2:28" x14ac:dyDescent="0.2">
      <c r="B12" s="34" t="s">
        <v>64</v>
      </c>
      <c r="C12" s="34"/>
      <c r="E12" s="33"/>
      <c r="F12" s="33"/>
      <c r="G12" s="33"/>
      <c r="H12" s="33"/>
      <c r="I12" s="33"/>
      <c r="J12" s="33"/>
      <c r="K12" s="33"/>
      <c r="L12" s="33"/>
      <c r="M12" s="87">
        <v>0</v>
      </c>
      <c r="N12" s="33"/>
    </row>
    <row r="13" spans="2:28" x14ac:dyDescent="0.2">
      <c r="B13" s="35" t="s">
        <v>152</v>
      </c>
      <c r="C13" s="36"/>
      <c r="D13" s="42" t="e">
        <f>C9-650000</f>
        <v>#VALUE!</v>
      </c>
      <c r="E13" s="38" t="str">
        <f>C9</f>
        <v>NOT APPLICABLE FOR THIS PROJECT</v>
      </c>
      <c r="F13" s="39" t="e">
        <f>D13-E13</f>
        <v>#VALUE!</v>
      </c>
      <c r="G13" s="39" t="e">
        <f>E13-F13</f>
        <v>#VALUE!</v>
      </c>
      <c r="H13" s="39" t="e">
        <f>F13-G13</f>
        <v>#VALUE!</v>
      </c>
      <c r="I13" s="33"/>
      <c r="J13" s="33"/>
      <c r="K13" s="95"/>
      <c r="L13" s="33"/>
      <c r="M13" s="33"/>
      <c r="N13" s="33"/>
      <c r="O13" s="33"/>
      <c r="P13" s="33"/>
      <c r="Q13" s="33"/>
      <c r="R13" s="33"/>
      <c r="S13" s="33"/>
      <c r="T13" s="31"/>
      <c r="U13" s="31"/>
      <c r="V13" s="31"/>
      <c r="W13" s="31"/>
      <c r="X13" s="31"/>
      <c r="Y13" s="31"/>
      <c r="Z13" s="31"/>
      <c r="AA13" s="31"/>
      <c r="AB13" s="31"/>
    </row>
    <row r="14" spans="2:28" hidden="1" x14ac:dyDescent="0.2">
      <c r="B14" s="115"/>
      <c r="C14" s="36"/>
      <c r="D14" s="42"/>
      <c r="E14" s="38"/>
      <c r="F14" s="39"/>
      <c r="G14" s="39"/>
      <c r="H14" s="39"/>
      <c r="I14" s="33"/>
      <c r="J14" s="33"/>
      <c r="K14" s="95"/>
      <c r="L14" s="33"/>
      <c r="M14" s="33"/>
      <c r="N14" s="33"/>
      <c r="O14" s="33"/>
      <c r="P14" s="33"/>
      <c r="Q14" s="33"/>
      <c r="R14" s="33"/>
      <c r="S14" s="33"/>
      <c r="T14" s="31"/>
      <c r="U14" s="31"/>
      <c r="V14" s="31"/>
      <c r="W14" s="31"/>
      <c r="X14" s="31"/>
      <c r="Y14" s="31"/>
      <c r="Z14" s="31"/>
      <c r="AA14" s="31"/>
      <c r="AB14" s="31"/>
    </row>
    <row r="15" spans="2:28" hidden="1" x14ac:dyDescent="0.2">
      <c r="B15" s="115"/>
      <c r="C15" s="69"/>
      <c r="D15" s="42"/>
      <c r="E15" s="38"/>
      <c r="F15" s="39"/>
      <c r="G15" s="39"/>
      <c r="H15" s="39"/>
      <c r="I15" s="33"/>
      <c r="J15" s="33"/>
      <c r="K15" s="95"/>
      <c r="L15" s="116"/>
      <c r="M15" s="117"/>
      <c r="N15" s="33"/>
      <c r="O15" s="33"/>
      <c r="P15" s="33"/>
      <c r="Q15" s="33"/>
      <c r="R15" s="33"/>
      <c r="S15" s="33"/>
      <c r="T15" s="33"/>
      <c r="U15" s="33"/>
      <c r="V15" s="31"/>
      <c r="W15" s="31"/>
      <c r="X15" s="31"/>
      <c r="Y15" s="31"/>
      <c r="Z15" s="31"/>
      <c r="AA15" s="31"/>
      <c r="AB15" s="31"/>
    </row>
    <row r="16" spans="2:28" hidden="1" x14ac:dyDescent="0.2">
      <c r="B16" s="115"/>
      <c r="C16" s="69"/>
      <c r="D16" s="42"/>
      <c r="E16" s="38"/>
      <c r="F16" s="39"/>
      <c r="G16" s="39"/>
      <c r="H16" s="39"/>
      <c r="I16" s="33"/>
      <c r="J16" s="33"/>
      <c r="K16" s="95"/>
      <c r="L16" s="33"/>
      <c r="M16" s="117"/>
      <c r="N16" s="33"/>
      <c r="O16" s="33"/>
      <c r="P16" s="33"/>
      <c r="Q16" s="33"/>
      <c r="R16" s="33"/>
      <c r="S16" s="33"/>
      <c r="T16" s="33"/>
      <c r="U16" s="33"/>
      <c r="V16" s="31"/>
      <c r="W16" s="31"/>
      <c r="X16" s="31"/>
      <c r="Y16" s="31"/>
      <c r="Z16" s="31"/>
      <c r="AA16" s="31"/>
      <c r="AB16" s="31"/>
    </row>
    <row r="17" spans="2:28" x14ac:dyDescent="0.2">
      <c r="B17" s="115" t="s">
        <v>67</v>
      </c>
      <c r="C17" s="69">
        <v>0.15</v>
      </c>
      <c r="D17" s="42" t="e">
        <f>IF(C17&gt;15%,"INVALID",(D13-D15-D16-D14)*C17)</f>
        <v>#VALUE!</v>
      </c>
      <c r="E17" s="38"/>
      <c r="F17" s="39"/>
      <c r="G17" s="39"/>
      <c r="H17" s="39"/>
      <c r="I17" s="33"/>
      <c r="J17" s="33"/>
      <c r="K17" s="95"/>
      <c r="L17" s="33"/>
      <c r="M17" s="33"/>
      <c r="N17" s="33"/>
      <c r="O17" s="33"/>
      <c r="P17" s="33"/>
      <c r="Q17" s="33"/>
      <c r="R17" s="33"/>
      <c r="S17" s="33"/>
      <c r="T17" s="33"/>
      <c r="U17" s="33"/>
      <c r="V17" s="31"/>
      <c r="W17" s="31"/>
      <c r="X17" s="31"/>
      <c r="Y17" s="31"/>
      <c r="Z17" s="31"/>
      <c r="AA17" s="31"/>
      <c r="AB17" s="31"/>
    </row>
    <row r="18" spans="2:28" x14ac:dyDescent="0.2">
      <c r="B18" s="115">
        <f>IF(INPUT!$D$42="Repeat Buyer",Classic_Mem_Inst1!$L$13,Classic_Mem_Inst1!$L$14)</f>
        <v>0</v>
      </c>
      <c r="C18" s="97">
        <f>IF(B18=Classic_Mem_Inst1!$L$13,Classic_Mem_Inst1!$M$13,Classic_Mem_Inst1!$M$14)</f>
        <v>0</v>
      </c>
      <c r="D18" s="42" t="e">
        <f>(D13-D15-D16-D17-D14)*C18</f>
        <v>#VALUE!</v>
      </c>
      <c r="E18" s="38"/>
      <c r="F18" s="39"/>
      <c r="G18" s="39"/>
      <c r="H18" s="39"/>
      <c r="I18" s="33"/>
      <c r="J18" s="33"/>
      <c r="K18" s="95"/>
      <c r="L18" s="33"/>
      <c r="M18" s="33"/>
      <c r="N18" s="33"/>
      <c r="O18" s="33"/>
      <c r="P18" s="31"/>
      <c r="Q18" s="33"/>
      <c r="R18" s="33"/>
      <c r="S18" s="33"/>
      <c r="T18" s="33"/>
      <c r="U18" s="33"/>
      <c r="V18" s="31"/>
      <c r="W18" s="31"/>
      <c r="X18" s="31"/>
      <c r="Y18" s="31"/>
      <c r="Z18" s="31"/>
      <c r="AA18" s="31"/>
      <c r="AB18" s="31"/>
    </row>
    <row r="19" spans="2:28" x14ac:dyDescent="0.2">
      <c r="B19" s="40" t="s">
        <v>68</v>
      </c>
      <c r="C19" s="97">
        <v>0.05</v>
      </c>
      <c r="D19" s="42" t="e">
        <f>((D13-D15-D16-D17-D18-D14)/1.12)*C19</f>
        <v>#VALUE!</v>
      </c>
      <c r="E19" s="44"/>
      <c r="F19" s="39"/>
      <c r="G19" s="39"/>
      <c r="H19" s="39"/>
      <c r="I19" s="33"/>
      <c r="J19" s="33"/>
      <c r="K19" s="95"/>
      <c r="L19" s="33"/>
      <c r="M19" s="33"/>
      <c r="N19" s="33"/>
      <c r="O19" s="33"/>
      <c r="P19" s="33"/>
      <c r="Q19" s="33"/>
      <c r="R19" s="33"/>
      <c r="S19" s="33"/>
      <c r="T19" s="31"/>
      <c r="U19" s="31"/>
      <c r="V19" s="31"/>
      <c r="W19" s="31"/>
      <c r="X19" s="31"/>
      <c r="Y19" s="31"/>
      <c r="Z19" s="31"/>
      <c r="AA19" s="31"/>
      <c r="AB19" s="31"/>
    </row>
    <row r="20" spans="2:28" x14ac:dyDescent="0.2">
      <c r="B20" s="40" t="str">
        <f>IF(INPUT!$D$43="Sycamore Heights",SY_Mem_Cash!$E$2,SY_Mem_Cash!$E$1)</f>
        <v>Add: TCCATH Share</v>
      </c>
      <c r="C20" s="97"/>
      <c r="D20" s="42">
        <f>IF(INPUT!$D$43="Sycamore Heights",SY_Mem_Cash!$H$2,SY_Mem_Cash!$H$1)</f>
        <v>650000</v>
      </c>
      <c r="E20" s="44"/>
      <c r="F20" s="39"/>
      <c r="G20" s="39"/>
      <c r="H20" s="39"/>
      <c r="I20" s="33"/>
      <c r="J20" s="33"/>
      <c r="K20" s="95"/>
      <c r="L20" s="33"/>
      <c r="M20" s="33"/>
      <c r="N20" s="33"/>
      <c r="O20" s="33"/>
      <c r="P20" s="33"/>
      <c r="Q20" s="33"/>
      <c r="R20" s="33"/>
      <c r="S20" s="33"/>
      <c r="T20" s="31"/>
      <c r="U20" s="31"/>
      <c r="V20" s="31"/>
      <c r="W20" s="31"/>
      <c r="X20" s="31"/>
      <c r="Y20" s="31"/>
      <c r="Z20" s="31"/>
      <c r="AA20" s="31"/>
      <c r="AB20" s="31"/>
    </row>
    <row r="21" spans="2:28" ht="15.75" thickBot="1" x14ac:dyDescent="0.25">
      <c r="B21" s="45" t="s">
        <v>69</v>
      </c>
      <c r="C21" s="46"/>
      <c r="D21" s="47" t="e">
        <f>(D13-D15-D16-D17-D18+D20+D19)</f>
        <v>#VALUE!</v>
      </c>
      <c r="E21" s="38"/>
      <c r="F21" s="39"/>
      <c r="G21" s="39"/>
      <c r="H21" s="39"/>
      <c r="I21" s="33"/>
      <c r="J21" s="33"/>
      <c r="K21" s="95"/>
      <c r="L21" s="33"/>
      <c r="M21" s="33"/>
      <c r="N21" s="33"/>
      <c r="O21" s="33"/>
      <c r="P21" s="33"/>
      <c r="Q21" s="33"/>
      <c r="R21" s="33"/>
      <c r="S21" s="33"/>
      <c r="T21" s="31"/>
      <c r="U21" s="31"/>
      <c r="V21" s="31"/>
      <c r="W21" s="31"/>
      <c r="X21" s="31"/>
      <c r="Y21" s="31"/>
      <c r="Z21" s="31"/>
      <c r="AA21" s="31"/>
      <c r="AB21" s="31"/>
    </row>
    <row r="22" spans="2:28" ht="16.5" thickTop="1" thickBot="1" x14ac:dyDescent="0.25"/>
    <row r="23" spans="2:28" ht="15.75" thickBot="1" x14ac:dyDescent="0.25">
      <c r="B23" s="291" t="s">
        <v>70</v>
      </c>
      <c r="C23" s="292"/>
      <c r="D23" s="48" t="s">
        <v>71</v>
      </c>
      <c r="E23" s="48" t="s">
        <v>72</v>
      </c>
      <c r="F23" s="78" t="s">
        <v>73</v>
      </c>
      <c r="G23" s="78" t="s">
        <v>74</v>
      </c>
      <c r="H23" s="78" t="s">
        <v>75</v>
      </c>
      <c r="I23" s="49" t="s">
        <v>76</v>
      </c>
      <c r="J23" s="33"/>
      <c r="K23" s="33"/>
      <c r="L23" s="33"/>
      <c r="M23" s="33"/>
      <c r="N23" s="33"/>
    </row>
    <row r="24" spans="2:28" x14ac:dyDescent="0.2">
      <c r="B24" s="293">
        <v>0</v>
      </c>
      <c r="C24" s="294"/>
      <c r="D24" s="50">
        <f ca="1">INPUT!D48</f>
        <v>45360</v>
      </c>
      <c r="E24" s="141" t="s">
        <v>77</v>
      </c>
      <c r="F24" s="51">
        <v>50000</v>
      </c>
      <c r="G24" s="51"/>
      <c r="H24" s="106">
        <f>SUM(F24:G24)</f>
        <v>50000</v>
      </c>
      <c r="I24" s="52" t="e">
        <f>D21-H24</f>
        <v>#VALUE!</v>
      </c>
      <c r="J24" s="53" t="s">
        <v>78</v>
      </c>
      <c r="K24" s="33"/>
      <c r="L24" s="38">
        <v>56000</v>
      </c>
      <c r="M24" s="39">
        <f>L24-F24</f>
        <v>6000</v>
      </c>
      <c r="N24" s="33"/>
    </row>
    <row r="25" spans="2:28" hidden="1" x14ac:dyDescent="0.2">
      <c r="B25" s="290"/>
      <c r="C25" s="265"/>
      <c r="D25" s="70">
        <v>44948</v>
      </c>
      <c r="E25" s="74" t="s">
        <v>79</v>
      </c>
      <c r="F25" s="75"/>
      <c r="G25" s="75"/>
      <c r="H25" s="118">
        <v>0</v>
      </c>
      <c r="I25" s="76" t="e">
        <f>I24-H25</f>
        <v>#VALUE!</v>
      </c>
      <c r="J25" s="53"/>
      <c r="K25" s="33"/>
      <c r="L25" s="38"/>
      <c r="M25" s="39"/>
      <c r="N25" s="33"/>
    </row>
    <row r="26" spans="2:28" x14ac:dyDescent="0.2">
      <c r="B26" s="290">
        <v>1</v>
      </c>
      <c r="C26" s="265"/>
      <c r="D26" s="70">
        <f ca="1">EDATE(D24,1)</f>
        <v>45391</v>
      </c>
      <c r="E26" s="134" t="s">
        <v>90</v>
      </c>
      <c r="F26" s="71" t="e">
        <f>ROUND((((D21-D19)*100%)-F24),2)</f>
        <v>#VALUE!</v>
      </c>
      <c r="G26" s="71" t="e">
        <f>ROUND(((D19*100%)-G24),2)</f>
        <v>#VALUE!</v>
      </c>
      <c r="H26" s="107" t="e">
        <f>SUM(F26:G26)</f>
        <v>#VALUE!</v>
      </c>
      <c r="I26" s="76" t="e">
        <f>I25-H26</f>
        <v>#VALUE!</v>
      </c>
      <c r="J26" s="53"/>
      <c r="K26" s="33"/>
      <c r="L26" s="38"/>
      <c r="M26" s="39"/>
      <c r="N26" s="33"/>
    </row>
    <row r="27" spans="2:28" ht="15.75" thickBot="1" x14ac:dyDescent="0.25">
      <c r="B27" s="80"/>
      <c r="C27" s="81"/>
      <c r="D27" s="82"/>
      <c r="E27" s="83" t="s">
        <v>81</v>
      </c>
      <c r="F27" s="84" t="e">
        <f>SUM(F24:F26)</f>
        <v>#VALUE!</v>
      </c>
      <c r="G27" s="84" t="e">
        <f>SUM(G24:G26)</f>
        <v>#VALUE!</v>
      </c>
      <c r="H27" s="84" t="e">
        <f>SUM(H24:H26)</f>
        <v>#VALUE!</v>
      </c>
      <c r="I27" s="85"/>
      <c r="J27" s="33"/>
      <c r="K27" s="33"/>
      <c r="L27" s="38">
        <f>SUM(L24:L26)</f>
        <v>56000</v>
      </c>
      <c r="M27" s="39" t="e">
        <f>L27-F27</f>
        <v>#VALUE!</v>
      </c>
      <c r="N27" s="33"/>
    </row>
    <row r="28" spans="2:28" x14ac:dyDescent="0.2">
      <c r="D28" s="60"/>
      <c r="L28" s="61"/>
    </row>
    <row r="29" spans="2:28" x14ac:dyDescent="0.2">
      <c r="B29" s="62" t="s">
        <v>82</v>
      </c>
      <c r="C29" s="62"/>
      <c r="D29" s="60"/>
      <c r="M29" s="33"/>
      <c r="N29" s="38"/>
      <c r="O29" s="33"/>
      <c r="P29" s="33"/>
      <c r="Q29" s="65"/>
      <c r="R29" s="65"/>
    </row>
    <row r="30" spans="2:28" ht="15" customHeight="1" x14ac:dyDescent="0.2">
      <c r="B30" s="261" t="str">
        <f>IF(INPUT!$D$43="Sycamore Heights",Classic_Mem_Cash!$B$60,Classic_Mem_Cash!$B$78)</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30" s="261"/>
      <c r="D30" s="261"/>
      <c r="E30" s="261"/>
      <c r="F30" s="261"/>
      <c r="G30" s="261"/>
      <c r="H30" s="261"/>
      <c r="I30" s="261"/>
      <c r="J30" s="111"/>
      <c r="K30" s="111"/>
      <c r="M30" s="33"/>
      <c r="N30" s="33"/>
      <c r="O30" s="33"/>
      <c r="P30" s="33"/>
      <c r="Q30" s="65"/>
      <c r="R30" s="65"/>
    </row>
    <row r="31" spans="2:28" ht="15" customHeight="1" x14ac:dyDescent="0.2">
      <c r="B31" s="261"/>
      <c r="C31" s="261"/>
      <c r="D31" s="261"/>
      <c r="E31" s="261"/>
      <c r="F31" s="261"/>
      <c r="G31" s="261"/>
      <c r="H31" s="261"/>
      <c r="I31" s="261"/>
      <c r="J31" s="260"/>
      <c r="K31" s="260"/>
      <c r="M31" s="33"/>
      <c r="N31" s="33"/>
      <c r="O31" s="33"/>
      <c r="P31" s="33"/>
      <c r="Q31" s="65"/>
      <c r="R31" s="65"/>
    </row>
    <row r="32" spans="2:28" ht="15" customHeight="1" x14ac:dyDescent="0.2">
      <c r="B32" s="261"/>
      <c r="C32" s="261"/>
      <c r="D32" s="261"/>
      <c r="E32" s="261"/>
      <c r="F32" s="261"/>
      <c r="G32" s="261"/>
      <c r="H32" s="261"/>
      <c r="I32" s="261"/>
      <c r="J32" s="260"/>
      <c r="K32" s="260"/>
      <c r="M32" s="33"/>
      <c r="N32" s="33"/>
      <c r="O32" s="33"/>
      <c r="P32" s="33"/>
      <c r="Q32" s="65"/>
      <c r="R32" s="65"/>
    </row>
    <row r="33" spans="1:18" x14ac:dyDescent="0.2">
      <c r="B33" s="261"/>
      <c r="C33" s="261"/>
      <c r="D33" s="261"/>
      <c r="E33" s="261"/>
      <c r="F33" s="261"/>
      <c r="G33" s="261"/>
      <c r="H33" s="261"/>
      <c r="I33" s="261"/>
      <c r="J33" s="260"/>
      <c r="K33" s="260"/>
      <c r="M33" s="33"/>
      <c r="N33" s="33"/>
      <c r="O33" s="33"/>
      <c r="P33" s="33"/>
      <c r="Q33" s="65"/>
      <c r="R33" s="65"/>
    </row>
    <row r="34" spans="1:18" ht="58.5" customHeight="1" x14ac:dyDescent="0.2">
      <c r="B34" s="261"/>
      <c r="C34" s="261"/>
      <c r="D34" s="261"/>
      <c r="E34" s="261"/>
      <c r="F34" s="261"/>
      <c r="G34" s="261"/>
      <c r="H34" s="261"/>
      <c r="I34" s="261"/>
      <c r="J34" s="260"/>
      <c r="K34" s="260"/>
      <c r="M34" s="33"/>
      <c r="N34" s="33"/>
      <c r="O34" s="33"/>
      <c r="P34" s="33"/>
      <c r="Q34" s="65"/>
      <c r="R34" s="65"/>
    </row>
    <row r="35" spans="1:18" ht="6.75" hidden="1" customHeight="1" x14ac:dyDescent="0.2">
      <c r="B35" s="261"/>
      <c r="C35" s="261"/>
      <c r="D35" s="261"/>
      <c r="E35" s="261"/>
      <c r="F35" s="261"/>
      <c r="G35" s="261"/>
      <c r="H35" s="261"/>
      <c r="I35" s="261"/>
      <c r="J35" s="260"/>
      <c r="K35" s="260"/>
      <c r="M35" s="33"/>
      <c r="N35" s="33"/>
      <c r="O35" s="33"/>
      <c r="P35" s="33"/>
      <c r="Q35" s="65"/>
      <c r="R35" s="65"/>
    </row>
    <row r="36" spans="1:18" ht="49.5" customHeight="1" x14ac:dyDescent="0.2">
      <c r="B36" s="261"/>
      <c r="C36" s="261"/>
      <c r="D36" s="261"/>
      <c r="E36" s="261"/>
      <c r="F36" s="261"/>
      <c r="G36" s="261"/>
      <c r="H36" s="261"/>
      <c r="I36" s="261"/>
      <c r="J36" s="260"/>
      <c r="K36" s="260"/>
      <c r="M36" s="33"/>
      <c r="N36" s="33"/>
      <c r="O36" s="33"/>
      <c r="P36" s="33"/>
      <c r="Q36" s="65"/>
      <c r="R36" s="65"/>
    </row>
    <row r="37" spans="1:18" ht="7.5" hidden="1" customHeight="1" x14ac:dyDescent="0.2">
      <c r="B37" s="261"/>
      <c r="C37" s="261"/>
      <c r="D37" s="261"/>
      <c r="E37" s="261"/>
      <c r="F37" s="261"/>
      <c r="G37" s="261"/>
      <c r="H37" s="261"/>
      <c r="I37" s="261"/>
      <c r="J37" s="260"/>
      <c r="K37" s="260"/>
      <c r="M37" s="33"/>
      <c r="N37" s="33"/>
      <c r="O37" s="33"/>
      <c r="P37" s="33"/>
      <c r="Q37" s="65"/>
      <c r="R37" s="65"/>
    </row>
    <row r="38" spans="1:18" ht="30" customHeight="1" x14ac:dyDescent="0.2">
      <c r="B38" s="261"/>
      <c r="C38" s="261"/>
      <c r="D38" s="261"/>
      <c r="E38" s="261"/>
      <c r="F38" s="261"/>
      <c r="G38" s="261"/>
      <c r="H38" s="261"/>
      <c r="I38" s="261"/>
      <c r="J38" s="260"/>
      <c r="K38" s="260"/>
      <c r="M38" s="33"/>
      <c r="N38" s="33"/>
      <c r="O38" s="33"/>
      <c r="P38" s="33"/>
      <c r="Q38" s="65"/>
      <c r="R38" s="65"/>
    </row>
    <row r="39" spans="1:18" hidden="1" x14ac:dyDescent="0.2">
      <c r="B39" s="63"/>
      <c r="C39" s="63"/>
      <c r="M39" s="33"/>
      <c r="N39" s="33"/>
      <c r="O39" s="33"/>
      <c r="P39" s="33"/>
      <c r="Q39" s="65"/>
      <c r="R39" s="65"/>
    </row>
    <row r="40" spans="1:18" hidden="1" x14ac:dyDescent="0.2">
      <c r="B40" s="64"/>
      <c r="C40" s="64"/>
      <c r="M40" s="33"/>
      <c r="N40" s="33"/>
      <c r="O40" s="33"/>
      <c r="P40" s="33"/>
      <c r="Q40" s="65"/>
      <c r="R40" s="65"/>
    </row>
    <row r="41" spans="1:18" hidden="1" x14ac:dyDescent="0.2">
      <c r="B41" s="64"/>
      <c r="C41" s="64"/>
      <c r="M41" s="33"/>
      <c r="N41" s="33"/>
      <c r="O41" s="33"/>
      <c r="P41" s="33"/>
      <c r="Q41" s="65"/>
      <c r="R41" s="65"/>
    </row>
    <row r="42" spans="1:18" hidden="1" x14ac:dyDescent="0.2">
      <c r="B42" s="64"/>
      <c r="C42" s="64"/>
      <c r="M42" s="33"/>
      <c r="N42" s="33"/>
      <c r="O42" s="33"/>
      <c r="P42" s="33"/>
      <c r="Q42" s="65"/>
      <c r="R42" s="65"/>
    </row>
    <row r="43" spans="1:18" hidden="1" x14ac:dyDescent="0.2">
      <c r="B43" s="64"/>
      <c r="C43" s="64"/>
      <c r="M43" s="33"/>
      <c r="N43" s="33"/>
      <c r="O43" s="33"/>
      <c r="P43" s="33"/>
      <c r="Q43" s="65"/>
      <c r="R43" s="65"/>
    </row>
    <row r="44" spans="1:18" s="65" customFormat="1" hidden="1" x14ac:dyDescent="0.2">
      <c r="A44" s="22"/>
      <c r="B44" s="64"/>
      <c r="C44" s="64"/>
      <c r="M44" s="33"/>
      <c r="N44" s="33"/>
      <c r="O44" s="33"/>
      <c r="P44" s="33"/>
    </row>
    <row r="45" spans="1:18" hidden="1" x14ac:dyDescent="0.2">
      <c r="M45" s="33"/>
      <c r="N45" s="33"/>
      <c r="O45" s="33"/>
      <c r="P45" s="33"/>
      <c r="Q45" s="65"/>
      <c r="R45" s="65"/>
    </row>
    <row r="46" spans="1:18" x14ac:dyDescent="0.2">
      <c r="B46" s="66" t="s">
        <v>84</v>
      </c>
      <c r="C46" s="66"/>
      <c r="M46" s="33"/>
      <c r="N46" s="33"/>
      <c r="O46" s="33"/>
      <c r="P46" s="33"/>
      <c r="Q46" s="65"/>
      <c r="R46" s="65"/>
    </row>
    <row r="47" spans="1:18" x14ac:dyDescent="0.2">
      <c r="M47" s="33"/>
      <c r="N47" s="33"/>
      <c r="O47" s="33"/>
      <c r="P47" s="33"/>
      <c r="Q47" s="65"/>
      <c r="R47" s="65"/>
    </row>
    <row r="48" spans="1:18" x14ac:dyDescent="0.2">
      <c r="M48" s="33"/>
      <c r="N48" s="33"/>
      <c r="O48" s="33"/>
      <c r="P48" s="33"/>
      <c r="Q48" s="65"/>
      <c r="R48" s="65"/>
    </row>
    <row r="49" spans="2:18" x14ac:dyDescent="0.2">
      <c r="B49" s="259" t="s">
        <v>85</v>
      </c>
      <c r="C49" s="259"/>
      <c r="D49" s="259"/>
      <c r="F49" s="259" t="s">
        <v>86</v>
      </c>
      <c r="G49" s="259"/>
      <c r="H49" s="259"/>
      <c r="I49" s="259"/>
      <c r="J49" s="259"/>
      <c r="K49" s="259"/>
      <c r="M49" s="33"/>
      <c r="N49" s="33"/>
      <c r="O49" s="33"/>
      <c r="P49" s="33"/>
      <c r="Q49" s="65"/>
      <c r="R49" s="65"/>
    </row>
    <row r="50" spans="2:18" x14ac:dyDescent="0.2">
      <c r="M50" s="33"/>
      <c r="N50" s="33"/>
      <c r="O50" s="33"/>
      <c r="P50" s="33"/>
      <c r="Q50" s="65"/>
      <c r="R50" s="65"/>
    </row>
    <row r="51" spans="2:18" x14ac:dyDescent="0.2">
      <c r="B51" s="67"/>
      <c r="C51" s="67"/>
      <c r="D51" s="67"/>
      <c r="E51" s="67"/>
      <c r="F51" s="67"/>
      <c r="G51" s="67"/>
      <c r="H51" s="67"/>
      <c r="I51" s="67"/>
    </row>
    <row r="52" spans="2:18" x14ac:dyDescent="0.2">
      <c r="B52" s="67"/>
      <c r="C52" s="67"/>
      <c r="D52" s="67"/>
      <c r="E52" s="67"/>
      <c r="F52" s="67"/>
      <c r="G52" s="67"/>
      <c r="H52" s="67"/>
      <c r="I52" s="67"/>
    </row>
    <row r="53" spans="2:18" x14ac:dyDescent="0.2">
      <c r="B53" s="67"/>
      <c r="C53" s="67"/>
      <c r="D53" s="67"/>
      <c r="E53" s="67"/>
      <c r="F53" s="67"/>
      <c r="G53" s="67"/>
      <c r="H53" s="67"/>
      <c r="I53" s="67"/>
    </row>
    <row r="54" spans="2:18" x14ac:dyDescent="0.2">
      <c r="B54" s="67"/>
      <c r="C54" s="67"/>
      <c r="D54" s="67"/>
      <c r="E54" s="67"/>
      <c r="F54" s="67"/>
      <c r="G54" s="67"/>
      <c r="H54" s="67"/>
      <c r="I54" s="67"/>
    </row>
    <row r="55" spans="2:18" x14ac:dyDescent="0.2">
      <c r="B55" s="262" t="s">
        <v>144</v>
      </c>
      <c r="C55" s="262"/>
      <c r="D55" s="262"/>
      <c r="E55" s="262"/>
      <c r="F55" s="262"/>
      <c r="G55" s="262"/>
      <c r="H55" s="262"/>
      <c r="I55" s="262"/>
      <c r="J55" s="68"/>
    </row>
    <row r="56" spans="2:18" x14ac:dyDescent="0.2">
      <c r="B56" s="263" t="s">
        <v>145</v>
      </c>
      <c r="C56" s="263"/>
      <c r="D56" s="263"/>
      <c r="E56" s="263"/>
      <c r="F56" s="263"/>
      <c r="G56" s="263"/>
      <c r="H56" s="263"/>
      <c r="I56" s="263"/>
      <c r="J56" s="68"/>
    </row>
    <row r="57" spans="2:18" x14ac:dyDescent="0.2">
      <c r="B57" s="262" t="s">
        <v>146</v>
      </c>
      <c r="C57" s="262"/>
      <c r="D57" s="262"/>
      <c r="E57" s="262"/>
      <c r="F57" s="262"/>
      <c r="G57" s="262"/>
      <c r="H57" s="262"/>
      <c r="I57" s="262"/>
      <c r="J57" s="68"/>
    </row>
    <row r="58" spans="2:18" x14ac:dyDescent="0.2">
      <c r="B58" s="262" t="s">
        <v>147</v>
      </c>
      <c r="C58" s="262"/>
      <c r="D58" s="262"/>
      <c r="E58" s="262"/>
      <c r="F58" s="262"/>
      <c r="G58" s="262"/>
      <c r="H58" s="262"/>
      <c r="I58" s="262"/>
      <c r="J58" s="68"/>
    </row>
    <row r="59" spans="2:18" x14ac:dyDescent="0.2">
      <c r="B59" s="262" t="s">
        <v>148</v>
      </c>
      <c r="C59" s="262"/>
      <c r="D59" s="262"/>
      <c r="E59" s="262"/>
      <c r="F59" s="262"/>
      <c r="G59" s="262"/>
      <c r="H59" s="262"/>
      <c r="I59" s="262"/>
      <c r="J59" s="68"/>
    </row>
    <row r="60" spans="2:18" x14ac:dyDescent="0.2">
      <c r="B60" s="68"/>
      <c r="C60" s="68"/>
      <c r="D60" s="68"/>
      <c r="E60" s="68"/>
      <c r="F60" s="68"/>
      <c r="G60" s="68"/>
      <c r="H60" s="68"/>
      <c r="I60" s="68"/>
      <c r="J60" s="68"/>
    </row>
    <row r="61" spans="2:18" x14ac:dyDescent="0.2">
      <c r="B61" s="67"/>
      <c r="C61" s="67"/>
      <c r="D61" s="67"/>
      <c r="E61" s="67"/>
      <c r="F61" s="67"/>
      <c r="G61" s="67"/>
      <c r="H61" s="67"/>
      <c r="I61" s="67"/>
    </row>
    <row r="62" spans="2:18" x14ac:dyDescent="0.2">
      <c r="B62" s="67"/>
      <c r="C62" s="67"/>
      <c r="D62" s="67"/>
      <c r="E62" s="67"/>
      <c r="F62" s="67"/>
      <c r="G62" s="67"/>
      <c r="H62" s="67"/>
      <c r="I62" s="67"/>
    </row>
    <row r="63" spans="2:18" x14ac:dyDescent="0.2">
      <c r="B63" s="67"/>
      <c r="C63" s="67"/>
      <c r="D63" s="67"/>
      <c r="E63" s="67"/>
      <c r="F63" s="67"/>
      <c r="G63" s="67"/>
      <c r="H63" s="67"/>
      <c r="I63" s="67"/>
    </row>
    <row r="64" spans="2:18" x14ac:dyDescent="0.2">
      <c r="B64" s="67"/>
      <c r="C64" s="67"/>
      <c r="D64" s="67"/>
      <c r="E64" s="67"/>
      <c r="F64" s="67"/>
      <c r="G64" s="67"/>
      <c r="H64" s="67"/>
      <c r="I64" s="67"/>
    </row>
  </sheetData>
  <sheetProtection password="C931" sheet="1" selectLockedCells="1"/>
  <mergeCells count="27">
    <mergeCell ref="B59:I59"/>
    <mergeCell ref="B49:D49"/>
    <mergeCell ref="F49:K49"/>
    <mergeCell ref="B55:I55"/>
    <mergeCell ref="B56:I56"/>
    <mergeCell ref="B57:I57"/>
    <mergeCell ref="B58:I58"/>
    <mergeCell ref="B30:I38"/>
    <mergeCell ref="J31:K31"/>
    <mergeCell ref="J32:K32"/>
    <mergeCell ref="J33:K33"/>
    <mergeCell ref="J34:K34"/>
    <mergeCell ref="J35:K35"/>
    <mergeCell ref="J36:K36"/>
    <mergeCell ref="J37:K37"/>
    <mergeCell ref="J38:K38"/>
    <mergeCell ref="B26:C26"/>
    <mergeCell ref="C10:D10"/>
    <mergeCell ref="B23:C23"/>
    <mergeCell ref="B24:C24"/>
    <mergeCell ref="B25:C25"/>
    <mergeCell ref="C9:D9"/>
    <mergeCell ref="L1:L3"/>
    <mergeCell ref="I2:I3"/>
    <mergeCell ref="C6:D6"/>
    <mergeCell ref="C7:D7"/>
    <mergeCell ref="C8:D8"/>
  </mergeCells>
  <hyperlinks>
    <hyperlink ref="L4" location="Input!A1" display="Return to Input" xr:uid="{00000000-0004-0000-0B00-000000000000}"/>
  </hyperlinks>
  <printOptions horizontalCentered="1" verticalCentered="1"/>
  <pageMargins left="0.39370078740157483" right="0.39370078740157483" top="0" bottom="0" header="0.31496062992125984" footer="0.31496062992125984"/>
  <pageSetup paperSize="177" scale="71" orientation="portrait" verticalDpi="429496729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pageSetUpPr fitToPage="1"/>
  </sheetPr>
  <dimension ref="A1:AB112"/>
  <sheetViews>
    <sheetView topLeftCell="A20" zoomScale="115" zoomScaleNormal="115" zoomScalePageLayoutView="115" workbookViewId="0">
      <selection activeCell="L4" sqref="L4"/>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0" width="13.31640625" style="31" hidden="1" customWidth="1"/>
    <col min="11" max="11" width="0" style="31" hidden="1" customWidth="1"/>
    <col min="12" max="12" width="26.09765625" style="31" customWidth="1"/>
    <col min="13" max="13" width="13.98828125" style="31" bestFit="1" customWidth="1"/>
    <col min="14" max="20" width="8.875" style="31"/>
    <col min="21"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301"/>
    </row>
    <row r="2" spans="2:28" x14ac:dyDescent="0.2">
      <c r="C2" s="23" t="s">
        <v>53</v>
      </c>
      <c r="F2" s="24"/>
      <c r="G2" s="24"/>
      <c r="H2" s="24"/>
      <c r="I2" s="283" t="s">
        <v>55</v>
      </c>
      <c r="J2" s="109"/>
      <c r="L2" s="301"/>
    </row>
    <row r="3" spans="2:28" x14ac:dyDescent="0.2">
      <c r="C3" s="23" t="str">
        <f>INPUT!D43</f>
        <v>Nob Hill</v>
      </c>
      <c r="F3" s="26"/>
      <c r="G3" s="26"/>
      <c r="H3" s="26"/>
      <c r="I3" s="283"/>
      <c r="J3" s="109"/>
      <c r="L3" s="301"/>
    </row>
    <row r="4" spans="2:28" x14ac:dyDescent="0.2">
      <c r="C4" s="23" t="s">
        <v>58</v>
      </c>
      <c r="F4" s="25"/>
      <c r="G4" s="25"/>
      <c r="H4" s="25"/>
      <c r="I4" s="25"/>
      <c r="J4" s="109"/>
      <c r="L4" s="105" t="s">
        <v>59</v>
      </c>
    </row>
    <row r="5" spans="2:28" ht="15.75" thickBot="1" x14ac:dyDescent="0.25">
      <c r="F5" s="25"/>
      <c r="G5" s="25"/>
      <c r="H5" s="25"/>
      <c r="I5" s="25"/>
      <c r="J5" s="109"/>
    </row>
    <row r="6" spans="2:28" ht="33" customHeight="1" thickBot="1" x14ac:dyDescent="0.25">
      <c r="B6" s="28" t="s">
        <v>27</v>
      </c>
      <c r="C6" s="284" t="str">
        <f>INPUT!D41</f>
        <v>Gela</v>
      </c>
      <c r="D6" s="285"/>
      <c r="J6" s="33"/>
      <c r="K6" s="33"/>
      <c r="L6" s="33"/>
      <c r="M6" s="33"/>
      <c r="N6" s="33"/>
      <c r="O6" s="33"/>
      <c r="P6" s="33"/>
      <c r="Q6" s="33"/>
    </row>
    <row r="7" spans="2:28" x14ac:dyDescent="0.2">
      <c r="B7" s="29" t="s">
        <v>60</v>
      </c>
      <c r="C7" s="286" t="str">
        <f>CONCATENATE("Block"," ",INPUT!D44," ","Lot"," ",INPUT!D45)</f>
        <v>Block 5 Lot 5</v>
      </c>
      <c r="D7" s="287"/>
      <c r="E7" s="30"/>
      <c r="F7" s="25"/>
      <c r="G7" s="25"/>
      <c r="H7" s="25"/>
      <c r="J7" s="33"/>
      <c r="K7" s="33"/>
      <c r="L7" s="33"/>
      <c r="M7" s="33"/>
      <c r="N7" s="33"/>
      <c r="O7" s="33"/>
      <c r="P7" s="33"/>
      <c r="Q7" s="33"/>
    </row>
    <row r="8" spans="2:28" x14ac:dyDescent="0.2">
      <c r="B8" s="32" t="s">
        <v>8</v>
      </c>
      <c r="C8" s="288">
        <f>INPUT!D46</f>
        <v>597</v>
      </c>
      <c r="D8" s="289"/>
      <c r="J8" s="33"/>
      <c r="K8" s="33"/>
      <c r="L8" s="33"/>
      <c r="M8" s="33"/>
      <c r="N8" s="33"/>
      <c r="O8" s="33"/>
      <c r="P8" s="33"/>
      <c r="Q8" s="33"/>
    </row>
    <row r="9" spans="2:28" x14ac:dyDescent="0.2">
      <c r="B9" s="32" t="s">
        <v>61</v>
      </c>
      <c r="C9" s="280">
        <f>INPUT!D47</f>
        <v>17314000</v>
      </c>
      <c r="D9" s="281"/>
      <c r="J9" s="33"/>
      <c r="K9" s="33"/>
      <c r="L9" s="33"/>
      <c r="M9" s="33"/>
      <c r="N9" s="33"/>
      <c r="O9" s="33"/>
      <c r="Q9" s="33"/>
    </row>
    <row r="10" spans="2:28" x14ac:dyDescent="0.2">
      <c r="B10" s="278" t="s">
        <v>62</v>
      </c>
      <c r="C10" s="270" t="s">
        <v>117</v>
      </c>
      <c r="D10" s="271"/>
      <c r="J10" s="33"/>
      <c r="K10" s="33"/>
      <c r="L10" s="33"/>
      <c r="M10" s="33"/>
      <c r="N10" s="33"/>
      <c r="O10" s="33"/>
      <c r="Q10" s="33"/>
    </row>
    <row r="11" spans="2:28" x14ac:dyDescent="0.2">
      <c r="B11" s="278"/>
      <c r="C11" s="138" t="s">
        <v>272</v>
      </c>
      <c r="D11" s="139"/>
      <c r="J11" s="33"/>
      <c r="K11" s="33"/>
      <c r="L11" s="33"/>
      <c r="M11" s="33"/>
      <c r="N11" s="33"/>
      <c r="O11" s="33"/>
      <c r="Q11" s="33"/>
    </row>
    <row r="12" spans="2:28" ht="15.75" thickBot="1" x14ac:dyDescent="0.25">
      <c r="B12" s="279"/>
      <c r="C12" s="272" t="s">
        <v>118</v>
      </c>
      <c r="D12" s="273"/>
      <c r="J12" s="33"/>
      <c r="K12" s="33"/>
      <c r="L12" s="33"/>
      <c r="M12" s="33"/>
      <c r="N12" s="33"/>
      <c r="O12" s="33"/>
      <c r="Q12" s="33"/>
    </row>
    <row r="13" spans="2:28" x14ac:dyDescent="0.2">
      <c r="E13" s="33"/>
      <c r="F13" s="33"/>
      <c r="G13" s="33"/>
      <c r="H13" s="33"/>
      <c r="I13" s="33"/>
      <c r="J13" s="33"/>
      <c r="K13" s="33"/>
      <c r="L13" s="86" t="s">
        <v>150</v>
      </c>
      <c r="M13" s="87">
        <v>0.02</v>
      </c>
      <c r="N13" s="33"/>
      <c r="O13" s="33"/>
      <c r="Q13" s="33"/>
    </row>
    <row r="14" spans="2:28" x14ac:dyDescent="0.2">
      <c r="B14" s="34" t="s">
        <v>64</v>
      </c>
      <c r="C14" s="34"/>
      <c r="E14" s="33"/>
      <c r="F14" s="33"/>
      <c r="G14" s="33"/>
      <c r="H14" s="33"/>
      <c r="I14" s="33"/>
      <c r="J14" s="33"/>
      <c r="K14" s="33"/>
      <c r="L14" s="33"/>
      <c r="M14" s="87">
        <v>0</v>
      </c>
      <c r="N14" s="33"/>
      <c r="O14" s="33"/>
      <c r="Q14" s="33"/>
    </row>
    <row r="15" spans="2:28" x14ac:dyDescent="0.2">
      <c r="B15" s="35" t="s">
        <v>264</v>
      </c>
      <c r="C15" s="36"/>
      <c r="D15" s="42">
        <f>C9</f>
        <v>17314000</v>
      </c>
      <c r="E15" s="38" t="str">
        <f>C10</f>
        <v xml:space="preserve">50% Spot </v>
      </c>
      <c r="F15" s="39" t="e">
        <f>D15-E15</f>
        <v>#VALUE!</v>
      </c>
      <c r="G15" s="39" t="e">
        <f>E15-F15</f>
        <v>#VALUE!</v>
      </c>
      <c r="H15" s="39" t="e">
        <f>F15-G15</f>
        <v>#VALUE!</v>
      </c>
      <c r="I15" s="33"/>
      <c r="J15" s="33"/>
      <c r="K15" s="95"/>
      <c r="L15" s="33"/>
      <c r="M15" s="33"/>
      <c r="N15" s="33"/>
      <c r="O15" s="33"/>
      <c r="P15" s="33"/>
      <c r="Q15" s="33"/>
      <c r="R15" s="33"/>
      <c r="S15" s="33"/>
      <c r="U15" s="31"/>
      <c r="V15" s="31"/>
      <c r="W15" s="31"/>
      <c r="X15" s="31"/>
      <c r="Y15" s="31"/>
      <c r="Z15" s="31"/>
      <c r="AA15" s="31"/>
      <c r="AB15" s="31"/>
    </row>
    <row r="16" spans="2:28" hidden="1" x14ac:dyDescent="0.2">
      <c r="B16" s="115"/>
      <c r="C16" s="36"/>
      <c r="D16" s="42"/>
      <c r="E16" s="38"/>
      <c r="F16" s="39"/>
      <c r="G16" s="39"/>
      <c r="H16" s="39"/>
      <c r="I16" s="33"/>
      <c r="J16" s="33"/>
      <c r="K16" s="95"/>
      <c r="L16" s="33"/>
      <c r="M16" s="33"/>
      <c r="N16" s="33"/>
      <c r="O16" s="33"/>
      <c r="P16" s="33"/>
      <c r="Q16" s="33"/>
      <c r="R16" s="33"/>
      <c r="S16" s="33"/>
      <c r="U16" s="31"/>
      <c r="V16" s="31"/>
      <c r="W16" s="31"/>
      <c r="X16" s="31"/>
      <c r="Y16" s="31"/>
      <c r="Z16" s="31"/>
      <c r="AA16" s="31"/>
      <c r="AB16" s="31"/>
    </row>
    <row r="17" spans="2:28" hidden="1" x14ac:dyDescent="0.2">
      <c r="B17" s="115"/>
      <c r="C17" s="69"/>
      <c r="D17" s="42"/>
      <c r="E17" s="38"/>
      <c r="F17" s="39"/>
      <c r="G17" s="39"/>
      <c r="H17" s="39"/>
      <c r="I17" s="33"/>
      <c r="J17" s="33"/>
      <c r="K17" s="95"/>
      <c r="L17" s="116"/>
      <c r="M17" s="117"/>
      <c r="N17" s="33"/>
      <c r="O17" s="33"/>
      <c r="P17" s="33"/>
      <c r="Q17" s="33"/>
      <c r="R17" s="33"/>
      <c r="S17" s="33"/>
      <c r="T17" s="33"/>
      <c r="U17" s="33"/>
      <c r="V17" s="31"/>
      <c r="W17" s="31"/>
      <c r="X17" s="31"/>
      <c r="Y17" s="31"/>
      <c r="Z17" s="31"/>
      <c r="AA17" s="31"/>
      <c r="AB17" s="31"/>
    </row>
    <row r="18" spans="2:28" hidden="1" x14ac:dyDescent="0.2">
      <c r="B18" s="115"/>
      <c r="C18" s="77"/>
      <c r="D18" s="42"/>
      <c r="E18" s="38"/>
      <c r="F18" s="39"/>
      <c r="G18" s="39"/>
      <c r="H18" s="39"/>
      <c r="I18" s="33"/>
      <c r="J18" s="33"/>
      <c r="K18" s="95"/>
      <c r="L18" s="33"/>
      <c r="M18" s="117"/>
      <c r="N18" s="33"/>
      <c r="O18" s="33"/>
      <c r="P18" s="33"/>
      <c r="Q18" s="33"/>
      <c r="R18" s="33"/>
      <c r="S18" s="33"/>
      <c r="T18" s="33"/>
      <c r="U18" s="33"/>
      <c r="V18" s="31"/>
      <c r="W18" s="31"/>
      <c r="X18" s="31"/>
      <c r="Y18" s="31"/>
      <c r="Z18" s="31"/>
      <c r="AA18" s="31"/>
      <c r="AB18" s="31"/>
    </row>
    <row r="19" spans="2:28" x14ac:dyDescent="0.2">
      <c r="B19" s="115" t="s">
        <v>67</v>
      </c>
      <c r="C19" s="77">
        <v>7.4999999999999997E-2</v>
      </c>
      <c r="D19" s="42">
        <f>IF(C19&gt;7.5%,"INVALID",(D15-D17-D18-D16)*C19)</f>
        <v>1298550</v>
      </c>
      <c r="E19" s="38"/>
      <c r="F19" s="39"/>
      <c r="G19" s="39"/>
      <c r="H19" s="39"/>
      <c r="I19" s="33"/>
      <c r="J19" s="33"/>
      <c r="K19" s="95"/>
      <c r="L19" s="33"/>
      <c r="M19" s="33"/>
      <c r="N19" s="33"/>
      <c r="O19" s="33"/>
      <c r="P19" s="33"/>
      <c r="Q19" s="33"/>
      <c r="R19" s="33"/>
      <c r="S19" s="33"/>
      <c r="T19" s="33"/>
      <c r="U19" s="33"/>
      <c r="V19" s="31"/>
      <c r="W19" s="31"/>
      <c r="X19" s="31"/>
      <c r="Y19" s="31"/>
      <c r="Z19" s="31"/>
      <c r="AA19" s="31"/>
      <c r="AB19" s="31"/>
    </row>
    <row r="20" spans="2:28" hidden="1" x14ac:dyDescent="0.2">
      <c r="B20" s="115"/>
      <c r="C20" s="69"/>
      <c r="D20" s="229"/>
      <c r="E20" s="38"/>
      <c r="F20" s="39"/>
      <c r="G20" s="39"/>
      <c r="H20" s="39"/>
      <c r="I20" s="33"/>
      <c r="J20" s="33"/>
      <c r="K20" s="95"/>
      <c r="L20" s="33"/>
      <c r="M20" s="33"/>
      <c r="N20" s="33"/>
      <c r="O20" s="33"/>
      <c r="P20" s="33"/>
      <c r="Q20" s="33"/>
      <c r="R20" s="33"/>
      <c r="S20" s="33"/>
      <c r="T20" s="33"/>
      <c r="U20" s="33"/>
      <c r="V20" s="31"/>
      <c r="W20" s="31"/>
      <c r="X20" s="31"/>
      <c r="Y20" s="31"/>
      <c r="Z20" s="31"/>
      <c r="AA20" s="31"/>
      <c r="AB20" s="31"/>
    </row>
    <row r="21" spans="2:28" x14ac:dyDescent="0.2">
      <c r="B21" s="115">
        <f>IF(INPUT!$D$42="Repeat Buyer",Classic_Mem_Inst1!$L$13,Classic_Mem_Inst1!$L$14)</f>
        <v>0</v>
      </c>
      <c r="C21" s="97">
        <f>IF(B21=Classic_Mem_Inst1!$L$13,Classic_Mem_Inst1!$M$13,Classic_Mem_Inst1!$M$14)</f>
        <v>0</v>
      </c>
      <c r="D21" s="42">
        <f>(D15-D19-D17-D18-D20)*C21</f>
        <v>0</v>
      </c>
      <c r="E21" s="38"/>
      <c r="F21" s="39"/>
      <c r="G21" s="39"/>
      <c r="H21" s="39"/>
      <c r="I21" s="33"/>
      <c r="J21" s="33"/>
      <c r="K21" s="95"/>
      <c r="L21" s="33"/>
      <c r="M21" s="33"/>
      <c r="N21" s="33"/>
      <c r="O21" s="33"/>
      <c r="Q21" s="33"/>
      <c r="R21" s="33"/>
      <c r="S21" s="33"/>
      <c r="T21" s="33"/>
      <c r="U21" s="33"/>
      <c r="V21" s="31"/>
      <c r="W21" s="31"/>
      <c r="X21" s="31"/>
      <c r="Y21" s="31"/>
      <c r="Z21" s="31"/>
      <c r="AA21" s="31"/>
      <c r="AB21" s="31"/>
    </row>
    <row r="22" spans="2:28" x14ac:dyDescent="0.2">
      <c r="B22" s="40" t="s">
        <v>68</v>
      </c>
      <c r="C22" s="97">
        <v>0.05</v>
      </c>
      <c r="D22" s="42">
        <f>((D15-D19-D18-D20-D21)/1.12)*C22</f>
        <v>714975.44642857136</v>
      </c>
      <c r="E22" s="44"/>
      <c r="F22" s="39"/>
      <c r="G22" s="39"/>
      <c r="H22" s="39"/>
      <c r="I22" s="33"/>
      <c r="J22" s="33"/>
      <c r="K22" s="95"/>
      <c r="L22" s="33"/>
      <c r="M22" s="33"/>
      <c r="N22" s="33"/>
      <c r="O22" s="33"/>
      <c r="P22" s="33"/>
      <c r="Q22" s="33"/>
      <c r="R22" s="33"/>
      <c r="S22" s="33"/>
      <c r="U22" s="31"/>
      <c r="V22" s="31"/>
      <c r="W22" s="31"/>
      <c r="X22" s="31"/>
      <c r="Y22" s="31"/>
      <c r="Z22" s="31"/>
      <c r="AA22" s="31"/>
      <c r="AB22" s="31"/>
    </row>
    <row r="23" spans="2:28" hidden="1" x14ac:dyDescent="0.2">
      <c r="B23" s="40"/>
      <c r="C23" s="97"/>
      <c r="D23" s="42"/>
      <c r="E23" s="44"/>
      <c r="F23" s="39"/>
      <c r="G23" s="39"/>
      <c r="H23" s="39"/>
      <c r="I23" s="33"/>
      <c r="J23" s="33"/>
      <c r="K23" s="95"/>
      <c r="L23" s="33"/>
      <c r="M23" s="33"/>
      <c r="N23" s="33"/>
      <c r="O23" s="33"/>
      <c r="P23" s="33"/>
      <c r="Q23" s="33"/>
      <c r="R23" s="33"/>
      <c r="S23" s="33"/>
      <c r="U23" s="31"/>
      <c r="V23" s="31"/>
      <c r="W23" s="31"/>
      <c r="X23" s="31"/>
      <c r="Y23" s="31"/>
      <c r="Z23" s="31"/>
      <c r="AA23" s="31"/>
      <c r="AB23" s="31"/>
    </row>
    <row r="24" spans="2:28" ht="15.75" thickBot="1" x14ac:dyDescent="0.25">
      <c r="B24" s="45" t="s">
        <v>265</v>
      </c>
      <c r="C24" s="46"/>
      <c r="D24" s="47">
        <f>(D15-SUM(D19:D21))+D22</f>
        <v>16730425.446428571</v>
      </c>
      <c r="E24" s="38"/>
      <c r="F24" s="39"/>
      <c r="G24" s="39"/>
      <c r="H24" s="39"/>
      <c r="I24" s="33"/>
      <c r="J24" s="33"/>
      <c r="K24" s="95"/>
      <c r="L24" s="33"/>
      <c r="M24" s="33"/>
      <c r="N24" s="33"/>
      <c r="O24" s="33"/>
      <c r="P24" s="33"/>
      <c r="Q24" s="33"/>
      <c r="R24" s="33"/>
      <c r="S24" s="33"/>
      <c r="U24" s="31"/>
      <c r="V24" s="31"/>
      <c r="W24" s="31"/>
      <c r="X24" s="31"/>
      <c r="Y24" s="31"/>
      <c r="Z24" s="31"/>
      <c r="AA24" s="31"/>
      <c r="AB24" s="31"/>
    </row>
    <row r="25" spans="2:28" ht="16.5" thickTop="1" thickBot="1" x14ac:dyDescent="0.25">
      <c r="J25" s="33"/>
      <c r="K25" s="33"/>
      <c r="L25" s="94" t="s">
        <v>153</v>
      </c>
      <c r="M25" s="103">
        <v>0.04</v>
      </c>
      <c r="N25" s="33"/>
      <c r="O25" s="33"/>
      <c r="Q25" s="33"/>
    </row>
    <row r="26" spans="2:28" ht="15.75" thickBot="1" x14ac:dyDescent="0.25">
      <c r="B26" s="274" t="s">
        <v>70</v>
      </c>
      <c r="C26" s="275"/>
      <c r="D26" s="78" t="s">
        <v>71</v>
      </c>
      <c r="E26" s="78" t="s">
        <v>72</v>
      </c>
      <c r="F26" s="78" t="s">
        <v>73</v>
      </c>
      <c r="G26" s="78" t="s">
        <v>74</v>
      </c>
      <c r="H26" s="78" t="s">
        <v>75</v>
      </c>
      <c r="I26" s="79" t="s">
        <v>76</v>
      </c>
      <c r="J26" s="33"/>
      <c r="K26" s="33"/>
      <c r="L26" s="33"/>
      <c r="M26" s="103">
        <v>0.02</v>
      </c>
      <c r="N26" s="33"/>
      <c r="O26" s="33"/>
      <c r="Q26" s="33"/>
    </row>
    <row r="27" spans="2:28" x14ac:dyDescent="0.2">
      <c r="B27" s="302">
        <v>0</v>
      </c>
      <c r="C27" s="303"/>
      <c r="D27" s="50">
        <f ca="1">INPUT!D48</f>
        <v>45360</v>
      </c>
      <c r="E27" s="141" t="s">
        <v>77</v>
      </c>
      <c r="F27" s="51">
        <v>50000</v>
      </c>
      <c r="G27" s="106"/>
      <c r="H27" s="106">
        <f>SUM(F27:G27)</f>
        <v>50000</v>
      </c>
      <c r="I27" s="52">
        <f>D24-H27</f>
        <v>16680425.446428571</v>
      </c>
      <c r="J27" s="53"/>
      <c r="K27" s="33"/>
      <c r="L27" s="38"/>
      <c r="M27" s="104">
        <v>43831</v>
      </c>
      <c r="N27" s="33"/>
      <c r="O27" s="33"/>
      <c r="Q27" s="33"/>
    </row>
    <row r="28" spans="2:28" hidden="1" x14ac:dyDescent="0.2">
      <c r="B28" s="290"/>
      <c r="C28" s="265"/>
      <c r="D28" s="70">
        <v>44948</v>
      </c>
      <c r="E28" s="74" t="s">
        <v>79</v>
      </c>
      <c r="F28" s="75"/>
      <c r="G28" s="118"/>
      <c r="H28" s="118">
        <v>0</v>
      </c>
      <c r="I28" s="76">
        <f>I27-H28</f>
        <v>16680425.446428571</v>
      </c>
      <c r="J28" s="53"/>
      <c r="K28" s="33"/>
      <c r="L28" s="38"/>
      <c r="M28" s="104"/>
      <c r="N28" s="33"/>
      <c r="O28" s="33"/>
      <c r="Q28" s="33"/>
    </row>
    <row r="29" spans="2:28" x14ac:dyDescent="0.2">
      <c r="B29" s="290">
        <f>B28+1</f>
        <v>1</v>
      </c>
      <c r="C29" s="265"/>
      <c r="D29" s="70">
        <f ca="1">EDATE(D27,1)</f>
        <v>45391</v>
      </c>
      <c r="E29" s="134" t="s">
        <v>90</v>
      </c>
      <c r="F29" s="71">
        <f>(D24-D22)-SUM(F27,F30:F72)</f>
        <v>7957724.9799999986</v>
      </c>
      <c r="G29" s="107">
        <f>(D22)-SUM(G27,G30:G72)</f>
        <v>357487.56642857147</v>
      </c>
      <c r="H29" s="107">
        <f>SUM(F29:G29)</f>
        <v>8315212.5464285705</v>
      </c>
      <c r="I29" s="76">
        <f>I28-H29</f>
        <v>8365212.9000000004</v>
      </c>
      <c r="J29" s="53"/>
      <c r="K29" s="33"/>
      <c r="L29" s="38"/>
      <c r="M29" s="43"/>
      <c r="N29" s="33"/>
      <c r="O29" s="33"/>
      <c r="Q29" s="33"/>
    </row>
    <row r="30" spans="2:28" x14ac:dyDescent="0.2">
      <c r="B30" s="290">
        <f t="shared" ref="B30:B72" si="0">B29+1</f>
        <v>2</v>
      </c>
      <c r="C30" s="265"/>
      <c r="D30" s="70">
        <f ca="1">EDATE(D29,1)</f>
        <v>45421</v>
      </c>
      <c r="E30" s="134" t="s">
        <v>91</v>
      </c>
      <c r="F30" s="71">
        <f>ROUND(((D24-D22)*25%)/42,2)</f>
        <v>95330.06</v>
      </c>
      <c r="G30" s="107">
        <f>ROUND(((D22)*25%)/42,2)</f>
        <v>4255.8100000000004</v>
      </c>
      <c r="H30" s="107">
        <f t="shared" ref="H30:H72" si="1">SUM(F30:G30)</f>
        <v>99585.87</v>
      </c>
      <c r="I30" s="72">
        <f t="shared" ref="I30:I72" si="2">I29-H30</f>
        <v>8265627.0300000003</v>
      </c>
      <c r="J30" s="53"/>
      <c r="K30" s="33"/>
      <c r="L30" s="38"/>
      <c r="M30" s="43"/>
      <c r="N30" s="33"/>
      <c r="O30" s="33"/>
      <c r="Q30" s="33"/>
    </row>
    <row r="31" spans="2:28" x14ac:dyDescent="0.2">
      <c r="B31" s="290">
        <f t="shared" si="0"/>
        <v>3</v>
      </c>
      <c r="C31" s="265"/>
      <c r="D31" s="70">
        <f t="shared" ref="D31:D72" ca="1" si="3">EDATE(D30,1)</f>
        <v>45452</v>
      </c>
      <c r="E31" s="203" t="s">
        <v>92</v>
      </c>
      <c r="F31" s="71">
        <f>F30</f>
        <v>95330.06</v>
      </c>
      <c r="G31" s="107">
        <f>G30</f>
        <v>4255.8100000000004</v>
      </c>
      <c r="H31" s="107">
        <f t="shared" si="1"/>
        <v>99585.87</v>
      </c>
      <c r="I31" s="72">
        <f t="shared" si="2"/>
        <v>8166041.1600000001</v>
      </c>
      <c r="J31" s="53"/>
      <c r="K31" s="33"/>
      <c r="L31" s="38"/>
      <c r="M31" s="43"/>
      <c r="N31" s="33"/>
      <c r="O31" s="33"/>
      <c r="Q31" s="33"/>
    </row>
    <row r="32" spans="2:28" x14ac:dyDescent="0.2">
      <c r="B32" s="290">
        <f t="shared" si="0"/>
        <v>4</v>
      </c>
      <c r="C32" s="265"/>
      <c r="D32" s="70">
        <f t="shared" ca="1" si="3"/>
        <v>45482</v>
      </c>
      <c r="E32" s="203" t="s">
        <v>93</v>
      </c>
      <c r="F32" s="71">
        <f t="shared" ref="F32:G69" si="4">F31</f>
        <v>95330.06</v>
      </c>
      <c r="G32" s="107">
        <f t="shared" si="4"/>
        <v>4255.8100000000004</v>
      </c>
      <c r="H32" s="107">
        <f t="shared" si="1"/>
        <v>99585.87</v>
      </c>
      <c r="I32" s="72">
        <f t="shared" si="2"/>
        <v>8066455.29</v>
      </c>
      <c r="J32" s="53"/>
      <c r="K32" s="33"/>
      <c r="L32" s="38"/>
      <c r="M32" s="43"/>
      <c r="N32" s="33"/>
      <c r="O32" s="33"/>
      <c r="Q32" s="33"/>
    </row>
    <row r="33" spans="2:17" x14ac:dyDescent="0.2">
      <c r="B33" s="290">
        <f t="shared" si="0"/>
        <v>5</v>
      </c>
      <c r="C33" s="265"/>
      <c r="D33" s="70">
        <f t="shared" ca="1" si="3"/>
        <v>45513</v>
      </c>
      <c r="E33" s="203" t="s">
        <v>94</v>
      </c>
      <c r="F33" s="71">
        <f t="shared" si="4"/>
        <v>95330.06</v>
      </c>
      <c r="G33" s="107">
        <f t="shared" si="4"/>
        <v>4255.8100000000004</v>
      </c>
      <c r="H33" s="107">
        <f t="shared" si="1"/>
        <v>99585.87</v>
      </c>
      <c r="I33" s="72">
        <f t="shared" si="2"/>
        <v>7966869.4199999999</v>
      </c>
      <c r="J33" s="53"/>
      <c r="K33" s="33"/>
      <c r="L33" s="38"/>
      <c r="M33" s="43"/>
      <c r="N33" s="33"/>
      <c r="O33" s="33"/>
      <c r="Q33" s="33"/>
    </row>
    <row r="34" spans="2:17" x14ac:dyDescent="0.2">
      <c r="B34" s="290">
        <f t="shared" si="0"/>
        <v>6</v>
      </c>
      <c r="C34" s="265"/>
      <c r="D34" s="70">
        <f t="shared" ca="1" si="3"/>
        <v>45544</v>
      </c>
      <c r="E34" s="203" t="s">
        <v>95</v>
      </c>
      <c r="F34" s="71">
        <f t="shared" si="4"/>
        <v>95330.06</v>
      </c>
      <c r="G34" s="107">
        <f t="shared" si="4"/>
        <v>4255.8100000000004</v>
      </c>
      <c r="H34" s="107">
        <f t="shared" si="1"/>
        <v>99585.87</v>
      </c>
      <c r="I34" s="72">
        <f t="shared" si="2"/>
        <v>7867283.5499999998</v>
      </c>
      <c r="J34" s="53"/>
      <c r="K34" s="33"/>
      <c r="L34" s="61"/>
      <c r="M34" s="119"/>
      <c r="Q34" s="33"/>
    </row>
    <row r="35" spans="2:17" x14ac:dyDescent="0.2">
      <c r="B35" s="290">
        <f t="shared" si="0"/>
        <v>7</v>
      </c>
      <c r="C35" s="265"/>
      <c r="D35" s="70">
        <f t="shared" ca="1" si="3"/>
        <v>45574</v>
      </c>
      <c r="E35" s="203" t="s">
        <v>96</v>
      </c>
      <c r="F35" s="71">
        <f t="shared" si="4"/>
        <v>95330.06</v>
      </c>
      <c r="G35" s="107">
        <f t="shared" si="4"/>
        <v>4255.8100000000004</v>
      </c>
      <c r="H35" s="107">
        <f t="shared" si="1"/>
        <v>99585.87</v>
      </c>
      <c r="I35" s="72">
        <f t="shared" si="2"/>
        <v>7767697.6799999997</v>
      </c>
      <c r="J35" s="53"/>
      <c r="K35" s="33"/>
      <c r="L35" s="61"/>
      <c r="M35" s="119"/>
      <c r="Q35" s="33"/>
    </row>
    <row r="36" spans="2:17" x14ac:dyDescent="0.2">
      <c r="B36" s="290">
        <f t="shared" si="0"/>
        <v>8</v>
      </c>
      <c r="C36" s="265"/>
      <c r="D36" s="70">
        <f t="shared" ca="1" si="3"/>
        <v>45605</v>
      </c>
      <c r="E36" s="203" t="s">
        <v>97</v>
      </c>
      <c r="F36" s="71">
        <f t="shared" si="4"/>
        <v>95330.06</v>
      </c>
      <c r="G36" s="107">
        <f t="shared" si="4"/>
        <v>4255.8100000000004</v>
      </c>
      <c r="H36" s="107">
        <f t="shared" si="1"/>
        <v>99585.87</v>
      </c>
      <c r="I36" s="72">
        <f t="shared" si="2"/>
        <v>7668111.8099999996</v>
      </c>
      <c r="J36" s="53"/>
      <c r="K36" s="33"/>
      <c r="L36" s="61"/>
      <c r="M36" s="113"/>
      <c r="Q36" s="33"/>
    </row>
    <row r="37" spans="2:17" x14ac:dyDescent="0.2">
      <c r="B37" s="290">
        <f t="shared" si="0"/>
        <v>9</v>
      </c>
      <c r="C37" s="265"/>
      <c r="D37" s="70">
        <f t="shared" ca="1" si="3"/>
        <v>45635</v>
      </c>
      <c r="E37" s="203" t="s">
        <v>98</v>
      </c>
      <c r="F37" s="71">
        <f t="shared" si="4"/>
        <v>95330.06</v>
      </c>
      <c r="G37" s="107">
        <f t="shared" si="4"/>
        <v>4255.8100000000004</v>
      </c>
      <c r="H37" s="107">
        <f t="shared" si="1"/>
        <v>99585.87</v>
      </c>
      <c r="I37" s="72">
        <f t="shared" si="2"/>
        <v>7568525.9399999995</v>
      </c>
      <c r="J37" s="53"/>
      <c r="K37" s="33"/>
      <c r="L37" s="38"/>
      <c r="M37" s="39"/>
      <c r="N37" s="33"/>
      <c r="O37" s="33"/>
      <c r="P37" s="33"/>
      <c r="Q37" s="33"/>
    </row>
    <row r="38" spans="2:17" x14ac:dyDescent="0.2">
      <c r="B38" s="290">
        <f t="shared" si="0"/>
        <v>10</v>
      </c>
      <c r="C38" s="265"/>
      <c r="D38" s="70">
        <f t="shared" ca="1" si="3"/>
        <v>45666</v>
      </c>
      <c r="E38" s="203" t="s">
        <v>99</v>
      </c>
      <c r="F38" s="71">
        <f t="shared" si="4"/>
        <v>95330.06</v>
      </c>
      <c r="G38" s="107">
        <f t="shared" si="4"/>
        <v>4255.8100000000004</v>
      </c>
      <c r="H38" s="107">
        <f t="shared" si="1"/>
        <v>99585.87</v>
      </c>
      <c r="I38" s="72">
        <f t="shared" si="2"/>
        <v>7468940.0699999994</v>
      </c>
      <c r="J38" s="53"/>
      <c r="K38" s="33"/>
      <c r="L38" s="38"/>
      <c r="M38" s="39"/>
      <c r="N38" s="33"/>
      <c r="O38" s="33"/>
      <c r="P38" s="33"/>
      <c r="Q38" s="33"/>
    </row>
    <row r="39" spans="2:17" x14ac:dyDescent="0.2">
      <c r="B39" s="290">
        <f t="shared" si="0"/>
        <v>11</v>
      </c>
      <c r="C39" s="265"/>
      <c r="D39" s="70">
        <f t="shared" ca="1" si="3"/>
        <v>45697</v>
      </c>
      <c r="E39" s="203" t="s">
        <v>100</v>
      </c>
      <c r="F39" s="71">
        <f t="shared" si="4"/>
        <v>95330.06</v>
      </c>
      <c r="G39" s="107">
        <f t="shared" si="4"/>
        <v>4255.8100000000004</v>
      </c>
      <c r="H39" s="107">
        <f t="shared" si="1"/>
        <v>99585.87</v>
      </c>
      <c r="I39" s="72">
        <f t="shared" si="2"/>
        <v>7369354.1999999993</v>
      </c>
      <c r="J39" s="53"/>
      <c r="K39" s="33"/>
      <c r="L39" s="38"/>
      <c r="M39" s="39"/>
      <c r="N39" s="33"/>
      <c r="O39" s="33"/>
      <c r="P39" s="33"/>
      <c r="Q39" s="33"/>
    </row>
    <row r="40" spans="2:17" x14ac:dyDescent="0.2">
      <c r="B40" s="290">
        <f t="shared" si="0"/>
        <v>12</v>
      </c>
      <c r="C40" s="265"/>
      <c r="D40" s="70">
        <f t="shared" ca="1" si="3"/>
        <v>45725</v>
      </c>
      <c r="E40" s="203" t="s">
        <v>101</v>
      </c>
      <c r="F40" s="71">
        <f t="shared" si="4"/>
        <v>95330.06</v>
      </c>
      <c r="G40" s="107">
        <f t="shared" si="4"/>
        <v>4255.8100000000004</v>
      </c>
      <c r="H40" s="107">
        <f t="shared" si="1"/>
        <v>99585.87</v>
      </c>
      <c r="I40" s="72">
        <f t="shared" si="2"/>
        <v>7269768.3299999991</v>
      </c>
      <c r="J40" s="53"/>
      <c r="K40" s="33"/>
      <c r="L40" s="38"/>
      <c r="M40" s="39"/>
      <c r="N40" s="33"/>
      <c r="O40" s="33"/>
      <c r="P40" s="33"/>
      <c r="Q40" s="33"/>
    </row>
    <row r="41" spans="2:17" x14ac:dyDescent="0.2">
      <c r="B41" s="290">
        <f t="shared" si="0"/>
        <v>13</v>
      </c>
      <c r="C41" s="265"/>
      <c r="D41" s="70">
        <f t="shared" ca="1" si="3"/>
        <v>45756</v>
      </c>
      <c r="E41" s="203" t="s">
        <v>102</v>
      </c>
      <c r="F41" s="71">
        <f t="shared" si="4"/>
        <v>95330.06</v>
      </c>
      <c r="G41" s="107">
        <f t="shared" si="4"/>
        <v>4255.8100000000004</v>
      </c>
      <c r="H41" s="107">
        <f t="shared" si="1"/>
        <v>99585.87</v>
      </c>
      <c r="I41" s="72">
        <f t="shared" si="2"/>
        <v>7170182.459999999</v>
      </c>
      <c r="J41" s="53"/>
      <c r="K41" s="33"/>
      <c r="L41" s="38"/>
      <c r="M41" s="39"/>
      <c r="N41" s="33"/>
      <c r="O41" s="33"/>
      <c r="P41" s="33"/>
      <c r="Q41" s="33"/>
    </row>
    <row r="42" spans="2:17" x14ac:dyDescent="0.2">
      <c r="B42" s="290">
        <f t="shared" si="0"/>
        <v>14</v>
      </c>
      <c r="C42" s="265"/>
      <c r="D42" s="70">
        <f t="shared" ca="1" si="3"/>
        <v>45786</v>
      </c>
      <c r="E42" s="203" t="s">
        <v>103</v>
      </c>
      <c r="F42" s="71">
        <f t="shared" si="4"/>
        <v>95330.06</v>
      </c>
      <c r="G42" s="107">
        <f t="shared" si="4"/>
        <v>4255.8100000000004</v>
      </c>
      <c r="H42" s="107">
        <f t="shared" si="1"/>
        <v>99585.87</v>
      </c>
      <c r="I42" s="72">
        <f t="shared" si="2"/>
        <v>7070596.5899999989</v>
      </c>
      <c r="J42" s="53"/>
      <c r="K42" s="33"/>
      <c r="L42" s="38"/>
      <c r="M42" s="39"/>
      <c r="N42" s="33"/>
      <c r="O42" s="33"/>
      <c r="P42" s="33"/>
      <c r="Q42" s="33"/>
    </row>
    <row r="43" spans="2:17" x14ac:dyDescent="0.2">
      <c r="B43" s="290">
        <f t="shared" si="0"/>
        <v>15</v>
      </c>
      <c r="C43" s="265"/>
      <c r="D43" s="70">
        <f t="shared" ca="1" si="3"/>
        <v>45817</v>
      </c>
      <c r="E43" s="203" t="s">
        <v>104</v>
      </c>
      <c r="F43" s="71">
        <f t="shared" si="4"/>
        <v>95330.06</v>
      </c>
      <c r="G43" s="107">
        <f t="shared" si="4"/>
        <v>4255.8100000000004</v>
      </c>
      <c r="H43" s="107">
        <f t="shared" si="1"/>
        <v>99585.87</v>
      </c>
      <c r="I43" s="72">
        <f t="shared" si="2"/>
        <v>6971010.7199999988</v>
      </c>
      <c r="J43" s="53"/>
      <c r="K43" s="33"/>
      <c r="L43" s="38"/>
      <c r="M43" s="39"/>
      <c r="N43" s="33"/>
      <c r="O43" s="33"/>
      <c r="P43" s="33"/>
      <c r="Q43" s="33"/>
    </row>
    <row r="44" spans="2:17" x14ac:dyDescent="0.2">
      <c r="B44" s="290">
        <f t="shared" si="0"/>
        <v>16</v>
      </c>
      <c r="C44" s="265"/>
      <c r="D44" s="70">
        <f t="shared" ca="1" si="3"/>
        <v>45847</v>
      </c>
      <c r="E44" s="203" t="s">
        <v>105</v>
      </c>
      <c r="F44" s="71">
        <f t="shared" si="4"/>
        <v>95330.06</v>
      </c>
      <c r="G44" s="107">
        <f t="shared" si="4"/>
        <v>4255.8100000000004</v>
      </c>
      <c r="H44" s="107">
        <f t="shared" si="1"/>
        <v>99585.87</v>
      </c>
      <c r="I44" s="72">
        <f t="shared" si="2"/>
        <v>6871424.8499999987</v>
      </c>
      <c r="J44" s="53"/>
      <c r="K44" s="33"/>
      <c r="L44" s="38"/>
      <c r="M44" s="39"/>
      <c r="N44" s="33"/>
      <c r="O44" s="33"/>
      <c r="P44" s="33"/>
      <c r="Q44" s="33"/>
    </row>
    <row r="45" spans="2:17" x14ac:dyDescent="0.2">
      <c r="B45" s="290">
        <f t="shared" si="0"/>
        <v>17</v>
      </c>
      <c r="C45" s="265"/>
      <c r="D45" s="70">
        <f t="shared" ca="1" si="3"/>
        <v>45878</v>
      </c>
      <c r="E45" s="203" t="s">
        <v>106</v>
      </c>
      <c r="F45" s="71">
        <f t="shared" si="4"/>
        <v>95330.06</v>
      </c>
      <c r="G45" s="107">
        <f t="shared" si="4"/>
        <v>4255.8100000000004</v>
      </c>
      <c r="H45" s="107">
        <f t="shared" si="1"/>
        <v>99585.87</v>
      </c>
      <c r="I45" s="72">
        <f t="shared" si="2"/>
        <v>6771838.9799999986</v>
      </c>
      <c r="J45" s="53"/>
      <c r="K45" s="33"/>
      <c r="L45" s="38"/>
      <c r="M45" s="39"/>
      <c r="N45" s="33"/>
      <c r="O45" s="33"/>
      <c r="P45" s="33"/>
      <c r="Q45" s="33"/>
    </row>
    <row r="46" spans="2:17" x14ac:dyDescent="0.2">
      <c r="B46" s="290">
        <f t="shared" si="0"/>
        <v>18</v>
      </c>
      <c r="C46" s="265"/>
      <c r="D46" s="70">
        <f t="shared" ca="1" si="3"/>
        <v>45909</v>
      </c>
      <c r="E46" s="203" t="s">
        <v>107</v>
      </c>
      <c r="F46" s="71">
        <f t="shared" si="4"/>
        <v>95330.06</v>
      </c>
      <c r="G46" s="107">
        <f t="shared" si="4"/>
        <v>4255.8100000000004</v>
      </c>
      <c r="H46" s="107">
        <f t="shared" si="1"/>
        <v>99585.87</v>
      </c>
      <c r="I46" s="72">
        <f t="shared" si="2"/>
        <v>6672253.1099999985</v>
      </c>
      <c r="J46" s="53"/>
      <c r="K46" s="33"/>
      <c r="L46" s="38"/>
      <c r="M46" s="39"/>
      <c r="N46" s="33"/>
      <c r="O46" s="33"/>
      <c r="P46" s="33"/>
      <c r="Q46" s="33"/>
    </row>
    <row r="47" spans="2:17" x14ac:dyDescent="0.2">
      <c r="B47" s="290">
        <f t="shared" si="0"/>
        <v>19</v>
      </c>
      <c r="C47" s="265"/>
      <c r="D47" s="70">
        <f t="shared" ca="1" si="3"/>
        <v>45939</v>
      </c>
      <c r="E47" s="203" t="s">
        <v>108</v>
      </c>
      <c r="F47" s="71">
        <f t="shared" si="4"/>
        <v>95330.06</v>
      </c>
      <c r="G47" s="107">
        <f t="shared" si="4"/>
        <v>4255.8100000000004</v>
      </c>
      <c r="H47" s="107">
        <f t="shared" si="1"/>
        <v>99585.87</v>
      </c>
      <c r="I47" s="72">
        <f t="shared" si="2"/>
        <v>6572667.2399999984</v>
      </c>
      <c r="J47" s="53"/>
      <c r="K47" s="33"/>
      <c r="L47" s="38"/>
      <c r="M47" s="39"/>
      <c r="N47" s="33"/>
      <c r="O47" s="33"/>
      <c r="P47" s="33"/>
      <c r="Q47" s="33"/>
    </row>
    <row r="48" spans="2:17" x14ac:dyDescent="0.2">
      <c r="B48" s="290">
        <f t="shared" si="0"/>
        <v>20</v>
      </c>
      <c r="C48" s="265"/>
      <c r="D48" s="70">
        <f t="shared" ca="1" si="3"/>
        <v>45970</v>
      </c>
      <c r="E48" s="203" t="s">
        <v>109</v>
      </c>
      <c r="F48" s="71">
        <f t="shared" si="4"/>
        <v>95330.06</v>
      </c>
      <c r="G48" s="107">
        <f t="shared" si="4"/>
        <v>4255.8100000000004</v>
      </c>
      <c r="H48" s="107">
        <f t="shared" si="1"/>
        <v>99585.87</v>
      </c>
      <c r="I48" s="72">
        <f t="shared" si="2"/>
        <v>6473081.3699999982</v>
      </c>
      <c r="J48" s="53"/>
      <c r="K48" s="33"/>
      <c r="L48" s="38"/>
      <c r="M48" s="39"/>
      <c r="N48" s="33"/>
      <c r="O48" s="33"/>
      <c r="P48" s="33"/>
      <c r="Q48" s="33"/>
    </row>
    <row r="49" spans="2:17" x14ac:dyDescent="0.2">
      <c r="B49" s="290">
        <f t="shared" si="0"/>
        <v>21</v>
      </c>
      <c r="C49" s="265"/>
      <c r="D49" s="70">
        <f t="shared" ca="1" si="3"/>
        <v>46000</v>
      </c>
      <c r="E49" s="203" t="s">
        <v>110</v>
      </c>
      <c r="F49" s="71">
        <f t="shared" si="4"/>
        <v>95330.06</v>
      </c>
      <c r="G49" s="107">
        <f t="shared" si="4"/>
        <v>4255.8100000000004</v>
      </c>
      <c r="H49" s="107">
        <f t="shared" si="1"/>
        <v>99585.87</v>
      </c>
      <c r="I49" s="72">
        <f t="shared" si="2"/>
        <v>6373495.4999999981</v>
      </c>
      <c r="J49" s="53"/>
      <c r="K49" s="33"/>
      <c r="L49" s="38"/>
      <c r="M49" s="39"/>
      <c r="N49" s="33"/>
      <c r="O49" s="33"/>
      <c r="P49" s="33"/>
      <c r="Q49" s="33"/>
    </row>
    <row r="50" spans="2:17" x14ac:dyDescent="0.2">
      <c r="B50" s="290">
        <f t="shared" si="0"/>
        <v>22</v>
      </c>
      <c r="C50" s="265"/>
      <c r="D50" s="70">
        <f t="shared" ca="1" si="3"/>
        <v>46031</v>
      </c>
      <c r="E50" s="203" t="s">
        <v>111</v>
      </c>
      <c r="F50" s="71">
        <f t="shared" si="4"/>
        <v>95330.06</v>
      </c>
      <c r="G50" s="107">
        <f t="shared" si="4"/>
        <v>4255.8100000000004</v>
      </c>
      <c r="H50" s="107">
        <f t="shared" si="1"/>
        <v>99585.87</v>
      </c>
      <c r="I50" s="72">
        <f t="shared" si="2"/>
        <v>6273909.629999998</v>
      </c>
      <c r="J50" s="53"/>
      <c r="K50" s="33"/>
      <c r="L50" s="38"/>
      <c r="M50" s="39"/>
      <c r="N50" s="33"/>
      <c r="O50" s="33"/>
      <c r="P50" s="33"/>
      <c r="Q50" s="33"/>
    </row>
    <row r="51" spans="2:17" x14ac:dyDescent="0.2">
      <c r="B51" s="290">
        <f t="shared" si="0"/>
        <v>23</v>
      </c>
      <c r="C51" s="265"/>
      <c r="D51" s="70">
        <f t="shared" ca="1" si="3"/>
        <v>46062</v>
      </c>
      <c r="E51" s="203" t="s">
        <v>112</v>
      </c>
      <c r="F51" s="71">
        <f t="shared" si="4"/>
        <v>95330.06</v>
      </c>
      <c r="G51" s="107">
        <f t="shared" si="4"/>
        <v>4255.8100000000004</v>
      </c>
      <c r="H51" s="107">
        <f t="shared" si="1"/>
        <v>99585.87</v>
      </c>
      <c r="I51" s="72">
        <f t="shared" si="2"/>
        <v>6174323.7599999979</v>
      </c>
      <c r="J51" s="53"/>
      <c r="K51" s="33"/>
      <c r="L51" s="38"/>
      <c r="M51" s="39"/>
      <c r="N51" s="33"/>
      <c r="O51" s="33"/>
      <c r="P51" s="33"/>
      <c r="Q51" s="33"/>
    </row>
    <row r="52" spans="2:17" x14ac:dyDescent="0.2">
      <c r="B52" s="290">
        <f t="shared" si="0"/>
        <v>24</v>
      </c>
      <c r="C52" s="265"/>
      <c r="D52" s="70">
        <f t="shared" ca="1" si="3"/>
        <v>46090</v>
      </c>
      <c r="E52" s="203" t="s">
        <v>113</v>
      </c>
      <c r="F52" s="71">
        <f t="shared" si="4"/>
        <v>95330.06</v>
      </c>
      <c r="G52" s="107">
        <f t="shared" si="4"/>
        <v>4255.8100000000004</v>
      </c>
      <c r="H52" s="107">
        <f t="shared" si="1"/>
        <v>99585.87</v>
      </c>
      <c r="I52" s="72">
        <f t="shared" si="2"/>
        <v>6074737.8899999978</v>
      </c>
      <c r="J52" s="53"/>
      <c r="K52" s="33"/>
      <c r="L52" s="38"/>
      <c r="M52" s="39"/>
      <c r="N52" s="33"/>
      <c r="O52" s="33"/>
      <c r="P52" s="33"/>
      <c r="Q52" s="33"/>
    </row>
    <row r="53" spans="2:17" x14ac:dyDescent="0.2">
      <c r="B53" s="290">
        <f t="shared" si="0"/>
        <v>25</v>
      </c>
      <c r="C53" s="265"/>
      <c r="D53" s="70">
        <f t="shared" ca="1" si="3"/>
        <v>46121</v>
      </c>
      <c r="E53" s="203" t="s">
        <v>114</v>
      </c>
      <c r="F53" s="71">
        <f t="shared" si="4"/>
        <v>95330.06</v>
      </c>
      <c r="G53" s="107">
        <f t="shared" si="4"/>
        <v>4255.8100000000004</v>
      </c>
      <c r="H53" s="107">
        <f t="shared" si="1"/>
        <v>99585.87</v>
      </c>
      <c r="I53" s="72">
        <f t="shared" si="2"/>
        <v>5975152.0199999977</v>
      </c>
      <c r="J53" s="53"/>
      <c r="K53" s="33"/>
      <c r="L53" s="38"/>
      <c r="M53" s="39"/>
      <c r="N53" s="33"/>
      <c r="O53" s="33"/>
      <c r="P53" s="33"/>
      <c r="Q53" s="33"/>
    </row>
    <row r="54" spans="2:17" x14ac:dyDescent="0.2">
      <c r="B54" s="290">
        <f t="shared" si="0"/>
        <v>26</v>
      </c>
      <c r="C54" s="265"/>
      <c r="D54" s="70">
        <f t="shared" ca="1" si="3"/>
        <v>46151</v>
      </c>
      <c r="E54" s="203" t="s">
        <v>119</v>
      </c>
      <c r="F54" s="71">
        <f t="shared" si="4"/>
        <v>95330.06</v>
      </c>
      <c r="G54" s="107">
        <f t="shared" si="4"/>
        <v>4255.8100000000004</v>
      </c>
      <c r="H54" s="107">
        <f t="shared" si="1"/>
        <v>99585.87</v>
      </c>
      <c r="I54" s="72">
        <f t="shared" si="2"/>
        <v>5875566.1499999976</v>
      </c>
      <c r="J54" s="53"/>
      <c r="K54" s="33"/>
      <c r="L54" s="38"/>
      <c r="M54" s="39"/>
      <c r="N54" s="33"/>
      <c r="O54" s="33"/>
      <c r="P54" s="33"/>
      <c r="Q54" s="33"/>
    </row>
    <row r="55" spans="2:17" x14ac:dyDescent="0.2">
      <c r="B55" s="290">
        <f t="shared" si="0"/>
        <v>27</v>
      </c>
      <c r="C55" s="265"/>
      <c r="D55" s="70">
        <f t="shared" ca="1" si="3"/>
        <v>46182</v>
      </c>
      <c r="E55" s="203" t="s">
        <v>120</v>
      </c>
      <c r="F55" s="71">
        <f t="shared" si="4"/>
        <v>95330.06</v>
      </c>
      <c r="G55" s="107">
        <f t="shared" si="4"/>
        <v>4255.8100000000004</v>
      </c>
      <c r="H55" s="107">
        <f t="shared" si="1"/>
        <v>99585.87</v>
      </c>
      <c r="I55" s="72">
        <f t="shared" si="2"/>
        <v>5775980.2799999975</v>
      </c>
      <c r="J55" s="53"/>
      <c r="K55" s="33"/>
      <c r="L55" s="38"/>
      <c r="M55" s="39"/>
      <c r="N55" s="33"/>
      <c r="O55" s="33"/>
      <c r="P55" s="33"/>
      <c r="Q55" s="33"/>
    </row>
    <row r="56" spans="2:17" x14ac:dyDescent="0.2">
      <c r="B56" s="290">
        <f t="shared" si="0"/>
        <v>28</v>
      </c>
      <c r="C56" s="265"/>
      <c r="D56" s="70">
        <f t="shared" ca="1" si="3"/>
        <v>46212</v>
      </c>
      <c r="E56" s="203" t="s">
        <v>121</v>
      </c>
      <c r="F56" s="71">
        <f t="shared" si="4"/>
        <v>95330.06</v>
      </c>
      <c r="G56" s="107">
        <f t="shared" si="4"/>
        <v>4255.8100000000004</v>
      </c>
      <c r="H56" s="107">
        <f t="shared" si="1"/>
        <v>99585.87</v>
      </c>
      <c r="I56" s="72">
        <f t="shared" si="2"/>
        <v>5676394.4099999974</v>
      </c>
      <c r="J56" s="53"/>
      <c r="K56" s="33"/>
      <c r="L56" s="38"/>
      <c r="M56" s="39"/>
      <c r="N56" s="33"/>
      <c r="O56" s="33"/>
      <c r="P56" s="33"/>
      <c r="Q56" s="33"/>
    </row>
    <row r="57" spans="2:17" x14ac:dyDescent="0.2">
      <c r="B57" s="290">
        <f t="shared" si="0"/>
        <v>29</v>
      </c>
      <c r="C57" s="265"/>
      <c r="D57" s="70">
        <f t="shared" ca="1" si="3"/>
        <v>46243</v>
      </c>
      <c r="E57" s="203" t="s">
        <v>122</v>
      </c>
      <c r="F57" s="71">
        <f t="shared" si="4"/>
        <v>95330.06</v>
      </c>
      <c r="G57" s="107">
        <f t="shared" si="4"/>
        <v>4255.8100000000004</v>
      </c>
      <c r="H57" s="107">
        <f t="shared" si="1"/>
        <v>99585.87</v>
      </c>
      <c r="I57" s="72">
        <f t="shared" si="2"/>
        <v>5576808.5399999972</v>
      </c>
      <c r="J57" s="53"/>
      <c r="K57" s="33"/>
      <c r="L57" s="38"/>
      <c r="M57" s="39"/>
      <c r="N57" s="33"/>
      <c r="O57" s="33"/>
      <c r="P57" s="33"/>
      <c r="Q57" s="33"/>
    </row>
    <row r="58" spans="2:17" x14ac:dyDescent="0.2">
      <c r="B58" s="290">
        <f t="shared" si="0"/>
        <v>30</v>
      </c>
      <c r="C58" s="265"/>
      <c r="D58" s="70">
        <f t="shared" ca="1" si="3"/>
        <v>46274</v>
      </c>
      <c r="E58" s="203" t="s">
        <v>123</v>
      </c>
      <c r="F58" s="71">
        <f t="shared" si="4"/>
        <v>95330.06</v>
      </c>
      <c r="G58" s="107">
        <f t="shared" si="4"/>
        <v>4255.8100000000004</v>
      </c>
      <c r="H58" s="107">
        <f t="shared" si="1"/>
        <v>99585.87</v>
      </c>
      <c r="I58" s="72">
        <f t="shared" si="2"/>
        <v>5477222.6699999971</v>
      </c>
      <c r="J58" s="53"/>
      <c r="K58" s="33"/>
      <c r="L58" s="38"/>
      <c r="M58" s="39"/>
      <c r="N58" s="33"/>
      <c r="O58" s="33"/>
      <c r="P58" s="33"/>
      <c r="Q58" s="33"/>
    </row>
    <row r="59" spans="2:17" x14ac:dyDescent="0.2">
      <c r="B59" s="290">
        <f t="shared" si="0"/>
        <v>31</v>
      </c>
      <c r="C59" s="265"/>
      <c r="D59" s="70">
        <f t="shared" ca="1" si="3"/>
        <v>46304</v>
      </c>
      <c r="E59" s="203" t="s">
        <v>124</v>
      </c>
      <c r="F59" s="71">
        <f t="shared" si="4"/>
        <v>95330.06</v>
      </c>
      <c r="G59" s="107">
        <f t="shared" si="4"/>
        <v>4255.8100000000004</v>
      </c>
      <c r="H59" s="107">
        <f t="shared" si="1"/>
        <v>99585.87</v>
      </c>
      <c r="I59" s="72">
        <f t="shared" si="2"/>
        <v>5377636.799999997</v>
      </c>
      <c r="J59" s="53"/>
      <c r="K59" s="33"/>
      <c r="L59" s="38"/>
      <c r="M59" s="39"/>
      <c r="N59" s="33"/>
      <c r="O59" s="33"/>
      <c r="P59" s="33"/>
      <c r="Q59" s="33"/>
    </row>
    <row r="60" spans="2:17" x14ac:dyDescent="0.2">
      <c r="B60" s="290">
        <f t="shared" si="0"/>
        <v>32</v>
      </c>
      <c r="C60" s="265"/>
      <c r="D60" s="70">
        <f t="shared" ca="1" si="3"/>
        <v>46335</v>
      </c>
      <c r="E60" s="203" t="s">
        <v>125</v>
      </c>
      <c r="F60" s="71">
        <f t="shared" si="4"/>
        <v>95330.06</v>
      </c>
      <c r="G60" s="107">
        <f t="shared" si="4"/>
        <v>4255.8100000000004</v>
      </c>
      <c r="H60" s="107">
        <f t="shared" si="1"/>
        <v>99585.87</v>
      </c>
      <c r="I60" s="72">
        <f t="shared" si="2"/>
        <v>5278050.9299999969</v>
      </c>
      <c r="J60" s="53"/>
      <c r="K60" s="33"/>
      <c r="L60" s="38"/>
      <c r="M60" s="39"/>
      <c r="N60" s="33"/>
      <c r="O60" s="33"/>
      <c r="P60" s="33"/>
      <c r="Q60" s="33"/>
    </row>
    <row r="61" spans="2:17" x14ac:dyDescent="0.2">
      <c r="B61" s="290">
        <f t="shared" si="0"/>
        <v>33</v>
      </c>
      <c r="C61" s="265"/>
      <c r="D61" s="70">
        <f t="shared" ca="1" si="3"/>
        <v>46365</v>
      </c>
      <c r="E61" s="203" t="s">
        <v>126</v>
      </c>
      <c r="F61" s="71">
        <f t="shared" si="4"/>
        <v>95330.06</v>
      </c>
      <c r="G61" s="107">
        <f t="shared" si="4"/>
        <v>4255.8100000000004</v>
      </c>
      <c r="H61" s="107">
        <f t="shared" si="1"/>
        <v>99585.87</v>
      </c>
      <c r="I61" s="72">
        <f t="shared" si="2"/>
        <v>5178465.0599999968</v>
      </c>
      <c r="J61" s="53"/>
      <c r="K61" s="33"/>
      <c r="L61" s="38"/>
      <c r="M61" s="39"/>
      <c r="N61" s="33"/>
      <c r="O61" s="33"/>
      <c r="P61" s="33"/>
      <c r="Q61" s="33"/>
    </row>
    <row r="62" spans="2:17" x14ac:dyDescent="0.2">
      <c r="B62" s="290">
        <f t="shared" si="0"/>
        <v>34</v>
      </c>
      <c r="C62" s="265"/>
      <c r="D62" s="70">
        <f t="shared" ca="1" si="3"/>
        <v>46396</v>
      </c>
      <c r="E62" s="203" t="s">
        <v>127</v>
      </c>
      <c r="F62" s="71">
        <f t="shared" si="4"/>
        <v>95330.06</v>
      </c>
      <c r="G62" s="107">
        <f t="shared" si="4"/>
        <v>4255.8100000000004</v>
      </c>
      <c r="H62" s="107">
        <f t="shared" si="1"/>
        <v>99585.87</v>
      </c>
      <c r="I62" s="72">
        <f t="shared" si="2"/>
        <v>5078879.1899999967</v>
      </c>
      <c r="J62" s="53"/>
      <c r="K62" s="33"/>
      <c r="L62" s="38"/>
      <c r="M62" s="39"/>
      <c r="N62" s="33"/>
      <c r="O62" s="33"/>
      <c r="P62" s="33"/>
      <c r="Q62" s="33"/>
    </row>
    <row r="63" spans="2:17" x14ac:dyDescent="0.2">
      <c r="B63" s="290">
        <f t="shared" si="0"/>
        <v>35</v>
      </c>
      <c r="C63" s="265"/>
      <c r="D63" s="70">
        <f t="shared" ca="1" si="3"/>
        <v>46427</v>
      </c>
      <c r="E63" s="203" t="s">
        <v>128</v>
      </c>
      <c r="F63" s="71">
        <f t="shared" si="4"/>
        <v>95330.06</v>
      </c>
      <c r="G63" s="107">
        <f t="shared" si="4"/>
        <v>4255.8100000000004</v>
      </c>
      <c r="H63" s="107">
        <f t="shared" si="1"/>
        <v>99585.87</v>
      </c>
      <c r="I63" s="72">
        <f t="shared" si="2"/>
        <v>4979293.3199999966</v>
      </c>
      <c r="J63" s="53"/>
      <c r="K63" s="33"/>
      <c r="L63" s="38"/>
      <c r="M63" s="39"/>
      <c r="N63" s="33"/>
      <c r="O63" s="33"/>
      <c r="P63" s="33"/>
      <c r="Q63" s="33"/>
    </row>
    <row r="64" spans="2:17" x14ac:dyDescent="0.2">
      <c r="B64" s="290">
        <f t="shared" si="0"/>
        <v>36</v>
      </c>
      <c r="C64" s="265"/>
      <c r="D64" s="70">
        <f t="shared" ca="1" si="3"/>
        <v>46455</v>
      </c>
      <c r="E64" s="203" t="s">
        <v>129</v>
      </c>
      <c r="F64" s="71">
        <f t="shared" si="4"/>
        <v>95330.06</v>
      </c>
      <c r="G64" s="107">
        <f t="shared" si="4"/>
        <v>4255.8100000000004</v>
      </c>
      <c r="H64" s="107">
        <f t="shared" si="1"/>
        <v>99585.87</v>
      </c>
      <c r="I64" s="72">
        <f t="shared" si="2"/>
        <v>4879707.4499999965</v>
      </c>
      <c r="J64" s="53"/>
      <c r="K64" s="33"/>
      <c r="L64" s="38"/>
      <c r="M64" s="39"/>
      <c r="N64" s="33"/>
      <c r="O64" s="33"/>
      <c r="P64" s="33"/>
      <c r="Q64" s="33"/>
    </row>
    <row r="65" spans="2:20" x14ac:dyDescent="0.2">
      <c r="B65" s="290">
        <f t="shared" si="0"/>
        <v>37</v>
      </c>
      <c r="C65" s="265"/>
      <c r="D65" s="70">
        <f t="shared" ca="1" si="3"/>
        <v>46486</v>
      </c>
      <c r="E65" s="203" t="s">
        <v>130</v>
      </c>
      <c r="F65" s="71">
        <f t="shared" si="4"/>
        <v>95330.06</v>
      </c>
      <c r="G65" s="107">
        <f t="shared" si="4"/>
        <v>4255.8100000000004</v>
      </c>
      <c r="H65" s="107">
        <f t="shared" si="1"/>
        <v>99585.87</v>
      </c>
      <c r="I65" s="72">
        <f t="shared" si="2"/>
        <v>4780121.5799999963</v>
      </c>
      <c r="J65" s="53"/>
      <c r="K65" s="33"/>
      <c r="L65" s="38"/>
      <c r="M65" s="39"/>
      <c r="N65" s="33"/>
      <c r="O65" s="33"/>
      <c r="P65" s="33"/>
      <c r="Q65" s="33"/>
    </row>
    <row r="66" spans="2:20" x14ac:dyDescent="0.2">
      <c r="B66" s="290">
        <f t="shared" si="0"/>
        <v>38</v>
      </c>
      <c r="C66" s="265"/>
      <c r="D66" s="70">
        <f t="shared" ca="1" si="3"/>
        <v>46516</v>
      </c>
      <c r="E66" s="203" t="s">
        <v>131</v>
      </c>
      <c r="F66" s="71">
        <f t="shared" si="4"/>
        <v>95330.06</v>
      </c>
      <c r="G66" s="107">
        <f t="shared" si="4"/>
        <v>4255.8100000000004</v>
      </c>
      <c r="H66" s="107">
        <f t="shared" si="1"/>
        <v>99585.87</v>
      </c>
      <c r="I66" s="72">
        <f t="shared" si="2"/>
        <v>4680535.7099999962</v>
      </c>
      <c r="J66" s="53"/>
      <c r="K66" s="33"/>
      <c r="L66" s="38"/>
      <c r="M66" s="39"/>
      <c r="N66" s="33"/>
      <c r="O66" s="33"/>
      <c r="P66" s="33"/>
      <c r="Q66" s="33"/>
    </row>
    <row r="67" spans="2:20" x14ac:dyDescent="0.2">
      <c r="B67" s="290">
        <f t="shared" si="0"/>
        <v>39</v>
      </c>
      <c r="C67" s="265"/>
      <c r="D67" s="70">
        <f t="shared" ca="1" si="3"/>
        <v>46547</v>
      </c>
      <c r="E67" s="203" t="s">
        <v>132</v>
      </c>
      <c r="F67" s="71">
        <f t="shared" si="4"/>
        <v>95330.06</v>
      </c>
      <c r="G67" s="107">
        <f t="shared" si="4"/>
        <v>4255.8100000000004</v>
      </c>
      <c r="H67" s="107">
        <f t="shared" si="1"/>
        <v>99585.87</v>
      </c>
      <c r="I67" s="72">
        <f t="shared" si="2"/>
        <v>4580949.8399999961</v>
      </c>
      <c r="J67" s="53"/>
      <c r="K67" s="33"/>
      <c r="L67" s="38"/>
      <c r="M67" s="39"/>
      <c r="N67" s="33"/>
      <c r="O67" s="33"/>
      <c r="P67" s="33"/>
      <c r="Q67" s="33"/>
    </row>
    <row r="68" spans="2:20" x14ac:dyDescent="0.2">
      <c r="B68" s="290">
        <f t="shared" si="0"/>
        <v>40</v>
      </c>
      <c r="C68" s="265"/>
      <c r="D68" s="70">
        <f t="shared" ca="1" si="3"/>
        <v>46577</v>
      </c>
      <c r="E68" s="203" t="s">
        <v>133</v>
      </c>
      <c r="F68" s="71">
        <f t="shared" si="4"/>
        <v>95330.06</v>
      </c>
      <c r="G68" s="107">
        <f t="shared" si="4"/>
        <v>4255.8100000000004</v>
      </c>
      <c r="H68" s="107">
        <f t="shared" si="1"/>
        <v>99585.87</v>
      </c>
      <c r="I68" s="72">
        <f t="shared" si="2"/>
        <v>4481363.969999996</v>
      </c>
      <c r="J68" s="53"/>
      <c r="K68" s="33"/>
      <c r="L68" s="38"/>
      <c r="M68" s="39"/>
      <c r="N68" s="33"/>
      <c r="O68" s="33"/>
      <c r="P68" s="33"/>
      <c r="Q68" s="33"/>
    </row>
    <row r="69" spans="2:20" x14ac:dyDescent="0.2">
      <c r="B69" s="290">
        <f t="shared" si="0"/>
        <v>41</v>
      </c>
      <c r="C69" s="265"/>
      <c r="D69" s="70">
        <f t="shared" ca="1" si="3"/>
        <v>46608</v>
      </c>
      <c r="E69" s="203" t="s">
        <v>134</v>
      </c>
      <c r="F69" s="71">
        <f t="shared" si="4"/>
        <v>95330.06</v>
      </c>
      <c r="G69" s="107">
        <f t="shared" si="4"/>
        <v>4255.8100000000004</v>
      </c>
      <c r="H69" s="107">
        <f t="shared" si="1"/>
        <v>99585.87</v>
      </c>
      <c r="I69" s="72">
        <f t="shared" si="2"/>
        <v>4381778.0999999959</v>
      </c>
      <c r="J69" s="53"/>
      <c r="K69" s="33"/>
      <c r="L69" s="38"/>
      <c r="M69" s="39"/>
      <c r="N69" s="33"/>
      <c r="O69" s="33"/>
      <c r="P69" s="33"/>
      <c r="Q69" s="33"/>
    </row>
    <row r="70" spans="2:20" x14ac:dyDescent="0.2">
      <c r="B70" s="290">
        <f t="shared" si="0"/>
        <v>42</v>
      </c>
      <c r="C70" s="265"/>
      <c r="D70" s="70">
        <f t="shared" ca="1" si="3"/>
        <v>46639</v>
      </c>
      <c r="E70" s="203" t="s">
        <v>135</v>
      </c>
      <c r="F70" s="71">
        <f t="shared" ref="F70:G70" si="5">F69</f>
        <v>95330.06</v>
      </c>
      <c r="G70" s="107">
        <f t="shared" si="5"/>
        <v>4255.8100000000004</v>
      </c>
      <c r="H70" s="107">
        <f t="shared" ref="H70:H71" si="6">SUM(F70:G70)</f>
        <v>99585.87</v>
      </c>
      <c r="I70" s="72">
        <f t="shared" si="2"/>
        <v>4282192.2299999958</v>
      </c>
      <c r="J70" s="53"/>
      <c r="K70" s="33"/>
      <c r="L70" s="38"/>
      <c r="M70" s="39"/>
      <c r="N70" s="33"/>
      <c r="O70" s="33"/>
      <c r="P70" s="33"/>
      <c r="Q70" s="33"/>
    </row>
    <row r="71" spans="2:20" x14ac:dyDescent="0.2">
      <c r="B71" s="290">
        <f t="shared" si="0"/>
        <v>43</v>
      </c>
      <c r="C71" s="265"/>
      <c r="D71" s="70">
        <f t="shared" ca="1" si="3"/>
        <v>46669</v>
      </c>
      <c r="E71" s="203" t="s">
        <v>136</v>
      </c>
      <c r="F71" s="71">
        <f t="shared" ref="F71:G71" si="7">F70</f>
        <v>95330.06</v>
      </c>
      <c r="G71" s="107">
        <f t="shared" si="7"/>
        <v>4255.8100000000004</v>
      </c>
      <c r="H71" s="107">
        <f t="shared" si="6"/>
        <v>99585.87</v>
      </c>
      <c r="I71" s="72">
        <f t="shared" si="2"/>
        <v>4182606.3599999957</v>
      </c>
      <c r="J71" s="53"/>
      <c r="K71" s="33"/>
      <c r="L71" s="38"/>
      <c r="M71" s="39"/>
      <c r="N71" s="33"/>
      <c r="O71" s="33"/>
      <c r="P71" s="33"/>
      <c r="Q71" s="33"/>
    </row>
    <row r="72" spans="2:20" ht="15.75" thickBot="1" x14ac:dyDescent="0.25">
      <c r="B72" s="290">
        <f t="shared" si="0"/>
        <v>44</v>
      </c>
      <c r="C72" s="265"/>
      <c r="D72" s="70">
        <f t="shared" ca="1" si="3"/>
        <v>46700</v>
      </c>
      <c r="E72" s="140" t="s">
        <v>143</v>
      </c>
      <c r="F72" s="100">
        <f>ROUND(((D24-D22)*25%),2)</f>
        <v>4003862.5</v>
      </c>
      <c r="G72" s="108">
        <f>ROUND((D22*25%),2)</f>
        <v>178743.86</v>
      </c>
      <c r="H72" s="108">
        <f t="shared" si="1"/>
        <v>4182606.36</v>
      </c>
      <c r="I72" s="72">
        <f t="shared" si="2"/>
        <v>-4.1909515857696533E-9</v>
      </c>
      <c r="J72" s="53"/>
      <c r="K72" s="33"/>
      <c r="L72" s="38"/>
      <c r="M72" s="39"/>
      <c r="N72" s="33"/>
      <c r="O72" s="33"/>
      <c r="P72" s="33"/>
      <c r="Q72" s="33"/>
    </row>
    <row r="73" spans="2:20" ht="15.75" thickBot="1" x14ac:dyDescent="0.25">
      <c r="B73" s="54"/>
      <c r="C73" s="55"/>
      <c r="D73" s="56"/>
      <c r="E73" s="57" t="s">
        <v>81</v>
      </c>
      <c r="F73" s="58">
        <f>SUM(F27:F72)</f>
        <v>16015450.000000017</v>
      </c>
      <c r="G73" s="58">
        <f>SUM(G29:G72)</f>
        <v>714975.44642857148</v>
      </c>
      <c r="H73" s="58">
        <f>SUM(H27:H72)</f>
        <v>16730425.446428536</v>
      </c>
      <c r="I73" s="59"/>
      <c r="J73" s="33"/>
      <c r="K73" s="33"/>
      <c r="L73" s="38">
        <f>SUM(L27:L72)</f>
        <v>0</v>
      </c>
      <c r="M73" s="39">
        <f>L73-F73</f>
        <v>-16015450.000000017</v>
      </c>
      <c r="N73" s="33"/>
      <c r="O73" s="33"/>
      <c r="P73" s="33"/>
      <c r="Q73" s="33"/>
    </row>
    <row r="74" spans="2:20" x14ac:dyDescent="0.2">
      <c r="D74" s="60"/>
      <c r="J74" s="33"/>
      <c r="K74" s="33"/>
      <c r="L74" s="38"/>
      <c r="M74" s="33"/>
      <c r="N74" s="33"/>
      <c r="O74" s="33"/>
      <c r="P74" s="33"/>
      <c r="Q74" s="33"/>
    </row>
    <row r="75" spans="2:20" x14ac:dyDescent="0.2">
      <c r="B75" s="62" t="s">
        <v>82</v>
      </c>
      <c r="C75" s="62"/>
      <c r="D75" s="60"/>
      <c r="J75" s="22"/>
      <c r="K75" s="22"/>
      <c r="L75" s="22"/>
      <c r="M75" s="33"/>
      <c r="N75" s="38"/>
      <c r="O75" s="33"/>
      <c r="P75" s="33"/>
      <c r="Q75" s="65"/>
      <c r="R75" s="65"/>
      <c r="S75" s="22"/>
      <c r="T75" s="22"/>
    </row>
    <row r="76" spans="2:20" ht="15" customHeight="1" x14ac:dyDescent="0.2">
      <c r="B76" s="260" t="s">
        <v>266</v>
      </c>
      <c r="C76" s="260"/>
      <c r="D76" s="260"/>
      <c r="E76" s="260"/>
      <c r="F76" s="260"/>
      <c r="G76" s="260"/>
      <c r="H76" s="260"/>
      <c r="I76" s="260"/>
      <c r="J76" s="111"/>
      <c r="K76" s="111"/>
      <c r="L76" s="22"/>
      <c r="M76" s="33"/>
      <c r="N76" s="33"/>
      <c r="O76" s="33"/>
      <c r="P76" s="33"/>
      <c r="Q76" s="65"/>
      <c r="R76" s="65"/>
      <c r="S76" s="22"/>
      <c r="T76" s="22"/>
    </row>
    <row r="77" spans="2:20" ht="15" customHeight="1" x14ac:dyDescent="0.2">
      <c r="B77" s="260"/>
      <c r="C77" s="260"/>
      <c r="D77" s="260"/>
      <c r="E77" s="260"/>
      <c r="F77" s="260"/>
      <c r="G77" s="260"/>
      <c r="H77" s="260"/>
      <c r="I77" s="260"/>
      <c r="J77" s="260"/>
      <c r="K77" s="260"/>
      <c r="L77" s="22"/>
      <c r="M77" s="33"/>
      <c r="N77" s="33"/>
      <c r="O77" s="33"/>
      <c r="P77" s="33"/>
      <c r="Q77" s="65"/>
      <c r="R77" s="65"/>
      <c r="S77" s="22"/>
      <c r="T77" s="22"/>
    </row>
    <row r="78" spans="2:20" ht="15" customHeight="1" x14ac:dyDescent="0.2">
      <c r="B78" s="260"/>
      <c r="C78" s="260"/>
      <c r="D78" s="260"/>
      <c r="E78" s="260"/>
      <c r="F78" s="260"/>
      <c r="G78" s="260"/>
      <c r="H78" s="260"/>
      <c r="I78" s="260"/>
      <c r="J78" s="260"/>
      <c r="K78" s="260"/>
      <c r="L78" s="22"/>
      <c r="M78" s="33"/>
      <c r="N78" s="33"/>
      <c r="O78" s="33"/>
      <c r="P78" s="33"/>
      <c r="Q78" s="65"/>
      <c r="R78" s="65"/>
      <c r="S78" s="22"/>
      <c r="T78" s="22"/>
    </row>
    <row r="79" spans="2:20" x14ac:dyDescent="0.2">
      <c r="B79" s="260"/>
      <c r="C79" s="260"/>
      <c r="D79" s="260"/>
      <c r="E79" s="260"/>
      <c r="F79" s="260"/>
      <c r="G79" s="260"/>
      <c r="H79" s="260"/>
      <c r="I79" s="260"/>
      <c r="J79" s="260"/>
      <c r="K79" s="260"/>
      <c r="L79" s="22"/>
      <c r="M79" s="33"/>
      <c r="N79" s="33"/>
      <c r="O79" s="33"/>
      <c r="P79" s="33"/>
      <c r="Q79" s="65"/>
      <c r="R79" s="65"/>
      <c r="S79" s="22"/>
      <c r="T79" s="22"/>
    </row>
    <row r="80" spans="2:20" ht="68.099999999999994" customHeight="1" x14ac:dyDescent="0.2">
      <c r="B80" s="260"/>
      <c r="C80" s="260"/>
      <c r="D80" s="260"/>
      <c r="E80" s="260"/>
      <c r="F80" s="260"/>
      <c r="G80" s="260"/>
      <c r="H80" s="260"/>
      <c r="I80" s="260"/>
      <c r="J80" s="260"/>
      <c r="K80" s="260"/>
      <c r="L80" s="22"/>
      <c r="M80" s="33"/>
      <c r="N80" s="33"/>
      <c r="O80" s="33"/>
      <c r="P80" s="33"/>
      <c r="Q80" s="65"/>
      <c r="R80" s="65"/>
      <c r="S80" s="22"/>
      <c r="T80" s="22"/>
    </row>
    <row r="81" spans="1:20" ht="6.75" hidden="1" customHeight="1" x14ac:dyDescent="0.2">
      <c r="B81" s="260"/>
      <c r="C81" s="260"/>
      <c r="D81" s="260"/>
      <c r="E81" s="260"/>
      <c r="F81" s="260"/>
      <c r="G81" s="260"/>
      <c r="H81" s="260"/>
      <c r="I81" s="260"/>
      <c r="J81" s="260"/>
      <c r="K81" s="260"/>
      <c r="L81" s="22"/>
      <c r="M81" s="33"/>
      <c r="N81" s="33"/>
      <c r="O81" s="33"/>
      <c r="P81" s="33"/>
      <c r="Q81" s="65"/>
      <c r="R81" s="65"/>
      <c r="S81" s="22"/>
      <c r="T81" s="22"/>
    </row>
    <row r="82" spans="1:20" ht="38.1" customHeight="1" x14ac:dyDescent="0.2">
      <c r="B82" s="260"/>
      <c r="C82" s="260"/>
      <c r="D82" s="260"/>
      <c r="E82" s="260"/>
      <c r="F82" s="260"/>
      <c r="G82" s="260"/>
      <c r="H82" s="260"/>
      <c r="I82" s="260"/>
      <c r="J82" s="260"/>
      <c r="K82" s="260"/>
      <c r="L82" s="22"/>
      <c r="M82" s="33"/>
      <c r="N82" s="33"/>
      <c r="O82" s="33"/>
      <c r="P82" s="33"/>
      <c r="Q82" s="65"/>
      <c r="R82" s="65"/>
      <c r="S82" s="22"/>
      <c r="T82" s="22"/>
    </row>
    <row r="83" spans="1:20" ht="7.5" hidden="1" customHeight="1" x14ac:dyDescent="0.2">
      <c r="B83" s="260"/>
      <c r="C83" s="260"/>
      <c r="D83" s="260"/>
      <c r="E83" s="260"/>
      <c r="F83" s="260"/>
      <c r="G83" s="260"/>
      <c r="H83" s="260"/>
      <c r="I83" s="260"/>
      <c r="J83" s="260"/>
      <c r="K83" s="260"/>
      <c r="L83" s="22"/>
      <c r="M83" s="33"/>
      <c r="N83" s="33"/>
      <c r="O83" s="33"/>
      <c r="P83" s="33"/>
      <c r="Q83" s="65"/>
      <c r="R83" s="65"/>
      <c r="S83" s="22"/>
      <c r="T83" s="22"/>
    </row>
    <row r="84" spans="1:20" hidden="1" x14ac:dyDescent="0.2">
      <c r="B84" s="63"/>
      <c r="C84" s="63"/>
      <c r="J84" s="22"/>
      <c r="K84" s="22"/>
      <c r="L84" s="22"/>
      <c r="M84" s="33"/>
      <c r="N84" s="33"/>
      <c r="O84" s="33"/>
      <c r="P84" s="33"/>
      <c r="Q84" s="65"/>
      <c r="R84" s="65"/>
      <c r="S84" s="22"/>
      <c r="T84" s="22"/>
    </row>
    <row r="85" spans="1:20" hidden="1" x14ac:dyDescent="0.2">
      <c r="B85" s="64"/>
      <c r="C85" s="64"/>
      <c r="J85" s="22"/>
      <c r="K85" s="22"/>
      <c r="L85" s="22"/>
      <c r="M85" s="33"/>
      <c r="N85" s="33"/>
      <c r="O85" s="33"/>
      <c r="P85" s="33"/>
      <c r="Q85" s="65"/>
      <c r="R85" s="65"/>
      <c r="S85" s="22"/>
      <c r="T85" s="22"/>
    </row>
    <row r="86" spans="1:20" hidden="1" x14ac:dyDescent="0.2">
      <c r="B86" s="64"/>
      <c r="C86" s="64"/>
      <c r="J86" s="22"/>
      <c r="K86" s="22"/>
      <c r="L86" s="22"/>
      <c r="M86" s="33"/>
      <c r="N86" s="33"/>
      <c r="O86" s="33"/>
      <c r="P86" s="33"/>
      <c r="Q86" s="65"/>
      <c r="R86" s="65"/>
      <c r="S86" s="22"/>
      <c r="T86" s="22"/>
    </row>
    <row r="87" spans="1:20" hidden="1" x14ac:dyDescent="0.2">
      <c r="B87" s="64"/>
      <c r="C87" s="64"/>
      <c r="J87" s="22"/>
      <c r="K87" s="22"/>
      <c r="L87" s="22"/>
      <c r="M87" s="33"/>
      <c r="N87" s="33"/>
      <c r="O87" s="33"/>
      <c r="P87" s="33"/>
      <c r="Q87" s="65"/>
      <c r="R87" s="65"/>
      <c r="S87" s="22"/>
      <c r="T87" s="22"/>
    </row>
    <row r="88" spans="1:20" hidden="1" x14ac:dyDescent="0.2">
      <c r="B88" s="64"/>
      <c r="C88" s="64"/>
      <c r="J88" s="22"/>
      <c r="K88" s="22"/>
      <c r="L88" s="22"/>
      <c r="M88" s="33"/>
      <c r="N88" s="33"/>
      <c r="O88" s="33"/>
      <c r="P88" s="33"/>
      <c r="Q88" s="65"/>
      <c r="R88" s="65"/>
      <c r="S88" s="22"/>
      <c r="T88" s="22"/>
    </row>
    <row r="89" spans="1:20" s="65" customFormat="1" hidden="1" x14ac:dyDescent="0.2">
      <c r="A89" s="22"/>
      <c r="B89" s="64"/>
      <c r="C89" s="64"/>
      <c r="M89" s="33"/>
      <c r="N89" s="33"/>
      <c r="O89" s="33"/>
      <c r="P89" s="33"/>
    </row>
    <row r="90" spans="1:20" hidden="1" x14ac:dyDescent="0.2">
      <c r="J90" s="22"/>
      <c r="K90" s="22"/>
      <c r="L90" s="22"/>
      <c r="M90" s="33"/>
      <c r="N90" s="33"/>
      <c r="O90" s="33"/>
      <c r="P90" s="33"/>
      <c r="Q90" s="65"/>
      <c r="R90" s="65"/>
      <c r="S90" s="22"/>
      <c r="T90" s="22"/>
    </row>
    <row r="91" spans="1:20" x14ac:dyDescent="0.2">
      <c r="B91" s="66" t="s">
        <v>84</v>
      </c>
      <c r="C91" s="66"/>
      <c r="J91" s="22"/>
      <c r="K91" s="22"/>
      <c r="L91" s="22"/>
      <c r="M91" s="33"/>
      <c r="N91" s="33"/>
      <c r="O91" s="33"/>
      <c r="P91" s="33"/>
      <c r="Q91" s="65"/>
      <c r="R91" s="65"/>
      <c r="S91" s="22"/>
      <c r="T91" s="22"/>
    </row>
    <row r="92" spans="1:20" x14ac:dyDescent="0.2">
      <c r="J92" s="22"/>
      <c r="K92" s="22"/>
      <c r="L92" s="22"/>
      <c r="M92" s="33"/>
      <c r="N92" s="33"/>
      <c r="O92" s="33"/>
      <c r="P92" s="33"/>
      <c r="Q92" s="65"/>
      <c r="R92" s="65"/>
      <c r="S92" s="22"/>
      <c r="T92" s="22"/>
    </row>
    <row r="93" spans="1:20" x14ac:dyDescent="0.2">
      <c r="J93" s="22"/>
      <c r="K93" s="22"/>
      <c r="L93" s="22"/>
      <c r="M93" s="33"/>
      <c r="N93" s="33"/>
      <c r="O93" s="33"/>
      <c r="P93" s="33"/>
      <c r="Q93" s="65"/>
      <c r="R93" s="65"/>
      <c r="S93" s="22"/>
      <c r="T93" s="22"/>
    </row>
    <row r="94" spans="1:20" x14ac:dyDescent="0.2">
      <c r="B94" s="259" t="s">
        <v>85</v>
      </c>
      <c r="C94" s="259"/>
      <c r="D94" s="259"/>
      <c r="F94" s="259" t="s">
        <v>86</v>
      </c>
      <c r="G94" s="259"/>
      <c r="H94" s="259"/>
      <c r="I94" s="259"/>
      <c r="J94" s="259"/>
      <c r="K94" s="259"/>
      <c r="L94" s="22"/>
      <c r="M94" s="33"/>
      <c r="N94" s="33"/>
      <c r="O94" s="33"/>
      <c r="P94" s="33"/>
      <c r="Q94" s="65"/>
      <c r="R94" s="65"/>
      <c r="S94" s="22"/>
      <c r="T94" s="22"/>
    </row>
    <row r="95" spans="1:20" x14ac:dyDescent="0.2">
      <c r="J95" s="22"/>
      <c r="K95" s="22"/>
      <c r="L95" s="22"/>
      <c r="M95" s="33"/>
      <c r="N95" s="33"/>
      <c r="O95" s="33"/>
      <c r="P95" s="33"/>
      <c r="Q95" s="65"/>
      <c r="R95" s="65"/>
      <c r="S95" s="22"/>
      <c r="T95" s="22"/>
    </row>
    <row r="96" spans="1:20" x14ac:dyDescent="0.2">
      <c r="B96" s="67"/>
      <c r="C96" s="67"/>
      <c r="D96" s="67"/>
      <c r="E96" s="67"/>
      <c r="F96" s="67"/>
      <c r="G96" s="67"/>
      <c r="H96" s="67"/>
      <c r="I96" s="67"/>
      <c r="J96" s="22"/>
      <c r="K96" s="22"/>
      <c r="L96" s="22"/>
      <c r="M96" s="22"/>
      <c r="N96" s="22"/>
      <c r="O96" s="22"/>
      <c r="P96" s="22"/>
      <c r="Q96" s="22"/>
      <c r="R96" s="22"/>
      <c r="S96" s="22"/>
      <c r="T96" s="22"/>
    </row>
    <row r="97" spans="2:28" x14ac:dyDescent="0.2">
      <c r="B97" s="67"/>
      <c r="C97" s="67"/>
      <c r="D97" s="67"/>
      <c r="E97" s="67"/>
      <c r="F97" s="67"/>
      <c r="G97" s="67"/>
      <c r="H97" s="67"/>
      <c r="I97" s="67"/>
      <c r="J97" s="22"/>
      <c r="K97" s="22"/>
      <c r="L97" s="22"/>
      <c r="M97" s="22"/>
      <c r="N97" s="22"/>
      <c r="O97" s="22"/>
      <c r="P97" s="22"/>
      <c r="Q97" s="22"/>
      <c r="R97" s="22"/>
      <c r="S97" s="22"/>
      <c r="T97" s="22"/>
    </row>
    <row r="98" spans="2:28" x14ac:dyDescent="0.2">
      <c r="J98" s="22"/>
      <c r="K98" s="22"/>
      <c r="L98" s="22"/>
      <c r="M98" s="22"/>
      <c r="N98" s="22"/>
      <c r="O98" s="22"/>
      <c r="P98" s="22"/>
      <c r="Q98" s="22"/>
      <c r="R98" s="22"/>
      <c r="S98" s="22"/>
      <c r="T98" s="22"/>
    </row>
    <row r="99" spans="2:28" x14ac:dyDescent="0.2">
      <c r="B99" s="67"/>
      <c r="C99" s="67"/>
      <c r="D99" s="67"/>
      <c r="E99" s="67"/>
      <c r="F99" s="67"/>
      <c r="G99" s="67"/>
      <c r="H99" s="67"/>
      <c r="I99" s="67"/>
      <c r="J99" s="33"/>
      <c r="K99" s="33"/>
      <c r="L99" s="33"/>
      <c r="M99" s="33"/>
      <c r="N99" s="33"/>
      <c r="O99" s="33"/>
      <c r="P99" s="33"/>
      <c r="Q99" s="33"/>
      <c r="R99" s="33"/>
      <c r="S99" s="33"/>
      <c r="U99" s="31"/>
      <c r="V99" s="31"/>
      <c r="W99" s="31"/>
      <c r="X99" s="31"/>
      <c r="Y99" s="31"/>
      <c r="Z99" s="31"/>
      <c r="AA99" s="31"/>
      <c r="AB99" s="31"/>
    </row>
    <row r="100" spans="2:28" x14ac:dyDescent="0.2">
      <c r="B100" s="67"/>
      <c r="C100" s="67"/>
      <c r="D100" s="67"/>
      <c r="E100" s="67"/>
      <c r="F100" s="67"/>
      <c r="G100" s="67"/>
      <c r="H100" s="67"/>
      <c r="I100" s="67"/>
      <c r="J100" s="33"/>
      <c r="K100" s="33"/>
      <c r="L100" s="33"/>
      <c r="M100" s="33"/>
      <c r="N100" s="33"/>
      <c r="O100" s="33"/>
      <c r="P100" s="33"/>
      <c r="Q100" s="33"/>
      <c r="R100" s="33"/>
      <c r="S100" s="33"/>
      <c r="U100" s="31"/>
      <c r="V100" s="31"/>
      <c r="W100" s="31"/>
      <c r="X100" s="31"/>
      <c r="Y100" s="31"/>
      <c r="Z100" s="31"/>
      <c r="AA100" s="31"/>
      <c r="AB100" s="31"/>
    </row>
    <row r="101" spans="2:28" x14ac:dyDescent="0.2">
      <c r="B101" s="67"/>
      <c r="C101" s="67"/>
      <c r="D101" s="67"/>
      <c r="E101" s="67"/>
      <c r="F101" s="67"/>
      <c r="G101" s="67"/>
      <c r="H101" s="67"/>
      <c r="I101" s="67"/>
    </row>
    <row r="102" spans="2:28" x14ac:dyDescent="0.2">
      <c r="B102" s="67"/>
      <c r="C102" s="67"/>
      <c r="D102" s="67"/>
      <c r="E102" s="67"/>
      <c r="F102" s="67"/>
      <c r="G102" s="67"/>
      <c r="H102" s="67"/>
      <c r="I102" s="67"/>
    </row>
    <row r="103" spans="2:28" x14ac:dyDescent="0.2">
      <c r="B103" s="262" t="s">
        <v>144</v>
      </c>
      <c r="C103" s="262"/>
      <c r="D103" s="262"/>
      <c r="E103" s="262"/>
      <c r="F103" s="262"/>
      <c r="G103" s="262"/>
      <c r="H103" s="262"/>
      <c r="I103" s="262"/>
      <c r="J103" s="110"/>
    </row>
    <row r="104" spans="2:28" x14ac:dyDescent="0.2">
      <c r="B104" s="263" t="s">
        <v>145</v>
      </c>
      <c r="C104" s="263"/>
      <c r="D104" s="263"/>
      <c r="E104" s="263"/>
      <c r="F104" s="263"/>
      <c r="G104" s="263"/>
      <c r="H104" s="263"/>
      <c r="I104" s="263"/>
      <c r="J104" s="110"/>
    </row>
    <row r="105" spans="2:28" x14ac:dyDescent="0.2">
      <c r="B105" s="262" t="s">
        <v>146</v>
      </c>
      <c r="C105" s="262"/>
      <c r="D105" s="262"/>
      <c r="E105" s="262"/>
      <c r="F105" s="262"/>
      <c r="G105" s="262"/>
      <c r="H105" s="262"/>
      <c r="I105" s="262"/>
      <c r="J105" s="110"/>
    </row>
    <row r="106" spans="2:28" x14ac:dyDescent="0.2">
      <c r="B106" s="262" t="s">
        <v>147</v>
      </c>
      <c r="C106" s="262"/>
      <c r="D106" s="262"/>
      <c r="E106" s="262"/>
      <c r="F106" s="262"/>
      <c r="G106" s="262"/>
      <c r="H106" s="262"/>
      <c r="I106" s="262"/>
      <c r="J106" s="110"/>
    </row>
    <row r="107" spans="2:28" x14ac:dyDescent="0.2">
      <c r="B107" s="262" t="s">
        <v>148</v>
      </c>
      <c r="C107" s="262"/>
      <c r="D107" s="262"/>
      <c r="E107" s="262"/>
      <c r="F107" s="262"/>
      <c r="G107" s="262"/>
      <c r="H107" s="262"/>
      <c r="I107" s="262"/>
      <c r="J107" s="110"/>
    </row>
    <row r="108" spans="2:28" x14ac:dyDescent="0.2">
      <c r="B108" s="68"/>
      <c r="C108" s="68"/>
      <c r="D108" s="68"/>
      <c r="E108" s="68"/>
      <c r="F108" s="68"/>
      <c r="G108" s="68"/>
      <c r="H108" s="68"/>
      <c r="I108" s="68"/>
      <c r="J108" s="110"/>
    </row>
    <row r="109" spans="2:28" x14ac:dyDescent="0.2">
      <c r="B109" s="67"/>
      <c r="C109" s="67"/>
      <c r="D109" s="67"/>
      <c r="E109" s="67"/>
      <c r="F109" s="67"/>
      <c r="G109" s="67"/>
      <c r="H109" s="67"/>
      <c r="I109" s="67"/>
    </row>
    <row r="110" spans="2:28" x14ac:dyDescent="0.2">
      <c r="B110" s="67"/>
      <c r="C110" s="67"/>
      <c r="D110" s="67"/>
      <c r="E110" s="67"/>
      <c r="F110" s="67"/>
      <c r="G110" s="67"/>
      <c r="H110" s="67"/>
      <c r="I110" s="67"/>
    </row>
    <row r="111" spans="2:28" x14ac:dyDescent="0.2">
      <c r="B111" s="67"/>
      <c r="C111" s="67"/>
      <c r="D111" s="67"/>
      <c r="E111" s="67"/>
      <c r="F111" s="67"/>
      <c r="G111" s="67"/>
      <c r="H111" s="67"/>
      <c r="I111" s="67"/>
    </row>
    <row r="112" spans="2:28" x14ac:dyDescent="0.2">
      <c r="B112" s="67"/>
      <c r="C112" s="67"/>
      <c r="D112" s="67"/>
      <c r="E112" s="67"/>
      <c r="F112" s="67"/>
      <c r="G112" s="67"/>
      <c r="H112" s="67"/>
      <c r="I112" s="67"/>
    </row>
  </sheetData>
  <sheetProtection password="C931" sheet="1" selectLockedCells="1"/>
  <mergeCells count="71">
    <mergeCell ref="B36:C36"/>
    <mergeCell ref="C10:D10"/>
    <mergeCell ref="C12:D12"/>
    <mergeCell ref="B26:C26"/>
    <mergeCell ref="B27:C27"/>
    <mergeCell ref="B29:C29"/>
    <mergeCell ref="B30:C30"/>
    <mergeCell ref="B31:C31"/>
    <mergeCell ref="B32:C32"/>
    <mergeCell ref="B33:C33"/>
    <mergeCell ref="B34:C34"/>
    <mergeCell ref="B35:C35"/>
    <mergeCell ref="B10:B12"/>
    <mergeCell ref="B28:C28"/>
    <mergeCell ref="C9:D9"/>
    <mergeCell ref="L1:L3"/>
    <mergeCell ref="I2:I3"/>
    <mergeCell ref="C6:D6"/>
    <mergeCell ref="C7:D7"/>
    <mergeCell ref="C8:D8"/>
    <mergeCell ref="B48:C48"/>
    <mergeCell ref="B37:C37"/>
    <mergeCell ref="B38:C38"/>
    <mergeCell ref="B39:C39"/>
    <mergeCell ref="B40:C40"/>
    <mergeCell ref="B41:C41"/>
    <mergeCell ref="B42:C42"/>
    <mergeCell ref="B43:C43"/>
    <mergeCell ref="B44:C44"/>
    <mergeCell ref="B45:C45"/>
    <mergeCell ref="B46:C46"/>
    <mergeCell ref="B47:C47"/>
    <mergeCell ref="B60:C60"/>
    <mergeCell ref="B49:C49"/>
    <mergeCell ref="B50:C50"/>
    <mergeCell ref="B51:C51"/>
    <mergeCell ref="B52:C52"/>
    <mergeCell ref="B53:C53"/>
    <mergeCell ref="B54:C54"/>
    <mergeCell ref="B55:C55"/>
    <mergeCell ref="B56:C56"/>
    <mergeCell ref="B57:C57"/>
    <mergeCell ref="B58:C58"/>
    <mergeCell ref="B59:C59"/>
    <mergeCell ref="B61:C61"/>
    <mergeCell ref="B62:C62"/>
    <mergeCell ref="B63:C63"/>
    <mergeCell ref="B64:C64"/>
    <mergeCell ref="B65:C65"/>
    <mergeCell ref="B66:C66"/>
    <mergeCell ref="B67:C67"/>
    <mergeCell ref="B68:C68"/>
    <mergeCell ref="B69:C69"/>
    <mergeCell ref="B72:C72"/>
    <mergeCell ref="B70:C70"/>
    <mergeCell ref="B71:C71"/>
    <mergeCell ref="B76:I83"/>
    <mergeCell ref="B105:I105"/>
    <mergeCell ref="B106:I106"/>
    <mergeCell ref="B107:I107"/>
    <mergeCell ref="B103:I103"/>
    <mergeCell ref="B104:I104"/>
    <mergeCell ref="B94:D94"/>
    <mergeCell ref="F94:K94"/>
    <mergeCell ref="J77:K77"/>
    <mergeCell ref="J78:K78"/>
    <mergeCell ref="J79:K79"/>
    <mergeCell ref="J80:K80"/>
    <mergeCell ref="J81:K81"/>
    <mergeCell ref="J82:K82"/>
    <mergeCell ref="J83:K83"/>
  </mergeCells>
  <hyperlinks>
    <hyperlink ref="L4" location="Input!A1" display="Return to Input" xr:uid="{00000000-0004-0000-0C00-000000000000}"/>
  </hyperlinks>
  <printOptions horizontalCentered="1" verticalCentered="1"/>
  <pageMargins left="0.39370078740157483" right="0.39370078740157483" top="0" bottom="0" header="0.31496062992125984" footer="0.31496062992125984"/>
  <pageSetup paperSize="14" scale="56" orientation="portrait"/>
  <rowBreaks count="1" manualBreakCount="1">
    <brk id="73" min="1" max="8"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pageSetUpPr fitToPage="1"/>
  </sheetPr>
  <dimension ref="A1:AB111"/>
  <sheetViews>
    <sheetView topLeftCell="B64" zoomScale="115" zoomScaleNormal="115" workbookViewId="0">
      <selection activeCell="D28" sqref="D28"/>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1.164062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f>INPUT!D47</f>
        <v>17314000</v>
      </c>
      <c r="D9" s="281"/>
      <c r="L9" s="31"/>
      <c r="M9" s="31"/>
      <c r="N9" s="31"/>
    </row>
    <row r="10" spans="2:28" x14ac:dyDescent="0.2">
      <c r="B10" s="278" t="s">
        <v>62</v>
      </c>
      <c r="C10" s="270" t="s">
        <v>149</v>
      </c>
      <c r="D10" s="271"/>
      <c r="L10" s="31"/>
      <c r="M10" s="31"/>
      <c r="N10" s="31"/>
    </row>
    <row r="11" spans="2:28" x14ac:dyDescent="0.2">
      <c r="B11" s="278"/>
      <c r="C11" s="138" t="s">
        <v>267</v>
      </c>
      <c r="D11" s="139"/>
      <c r="L11" s="31"/>
      <c r="M11" s="31"/>
      <c r="N11" s="31"/>
    </row>
    <row r="12" spans="2:28" ht="15.75" thickBot="1" x14ac:dyDescent="0.25">
      <c r="B12" s="279"/>
      <c r="C12" s="272" t="s">
        <v>155</v>
      </c>
      <c r="D12" s="273"/>
      <c r="L12" s="31"/>
      <c r="M12" s="31"/>
      <c r="N12" s="31"/>
    </row>
    <row r="13" spans="2:28" x14ac:dyDescent="0.2">
      <c r="E13" s="33"/>
      <c r="F13" s="33"/>
      <c r="G13" s="33"/>
      <c r="H13" s="33"/>
      <c r="I13" s="33"/>
      <c r="J13" s="33"/>
      <c r="K13" s="33"/>
      <c r="L13" s="86" t="s">
        <v>150</v>
      </c>
      <c r="M13" s="87">
        <v>0.02</v>
      </c>
      <c r="N13" s="33"/>
    </row>
    <row r="14" spans="2:28" x14ac:dyDescent="0.2">
      <c r="B14" s="34" t="s">
        <v>64</v>
      </c>
      <c r="C14" s="34"/>
      <c r="E14" s="33"/>
      <c r="F14" s="33"/>
      <c r="G14" s="33"/>
      <c r="H14" s="33"/>
      <c r="I14" s="33"/>
      <c r="J14" s="33"/>
      <c r="K14" s="33"/>
      <c r="L14" s="33"/>
      <c r="M14" s="87">
        <v>0</v>
      </c>
      <c r="N14" s="33"/>
    </row>
    <row r="15" spans="2:28" x14ac:dyDescent="0.2">
      <c r="B15" s="35" t="s">
        <v>264</v>
      </c>
      <c r="C15" s="36"/>
      <c r="D15" s="42">
        <f>C9</f>
        <v>17314000</v>
      </c>
      <c r="E15" s="38" t="str">
        <f>C10</f>
        <v xml:space="preserve">20% Spot </v>
      </c>
      <c r="F15" s="39" t="e">
        <f>D15-E15</f>
        <v>#VALUE!</v>
      </c>
      <c r="G15" s="39" t="e">
        <f>E15-F15</f>
        <v>#VALUE!</v>
      </c>
      <c r="H15" s="39" t="e">
        <f>F15-G15</f>
        <v>#VALUE!</v>
      </c>
      <c r="I15" s="33"/>
      <c r="J15" s="33"/>
      <c r="K15" s="95"/>
      <c r="L15" s="33"/>
      <c r="M15" s="33"/>
      <c r="N15" s="33"/>
      <c r="O15" s="33"/>
      <c r="P15" s="33"/>
      <c r="Q15" s="33"/>
      <c r="R15" s="33"/>
      <c r="S15" s="33"/>
      <c r="T15" s="31"/>
      <c r="U15" s="31"/>
      <c r="V15" s="31"/>
      <c r="W15" s="31"/>
      <c r="X15" s="31"/>
      <c r="Y15" s="31"/>
      <c r="Z15" s="31"/>
      <c r="AA15" s="31"/>
      <c r="AB15" s="31"/>
    </row>
    <row r="16" spans="2:28" hidden="1" x14ac:dyDescent="0.2">
      <c r="B16" s="115"/>
      <c r="C16" s="36"/>
      <c r="D16" s="42"/>
      <c r="E16" s="38"/>
      <c r="F16" s="39"/>
      <c r="G16" s="39"/>
      <c r="H16" s="39"/>
      <c r="I16" s="33"/>
      <c r="J16" s="33"/>
      <c r="K16" s="95"/>
      <c r="L16" s="33"/>
      <c r="M16" s="33"/>
      <c r="N16" s="33"/>
      <c r="O16" s="33"/>
      <c r="P16" s="33"/>
      <c r="Q16" s="33"/>
      <c r="R16" s="33"/>
      <c r="S16" s="33"/>
      <c r="T16" s="31"/>
      <c r="U16" s="31"/>
      <c r="V16" s="31"/>
      <c r="W16" s="31"/>
      <c r="X16" s="31"/>
      <c r="Y16" s="31"/>
      <c r="Z16" s="31"/>
      <c r="AA16" s="31"/>
      <c r="AB16" s="31"/>
    </row>
    <row r="17" spans="2:28" hidden="1" x14ac:dyDescent="0.2">
      <c r="B17" s="115"/>
      <c r="C17" s="69"/>
      <c r="D17" s="42"/>
      <c r="E17" s="38"/>
      <c r="F17" s="39"/>
      <c r="G17" s="39"/>
      <c r="H17" s="39"/>
      <c r="I17" s="33"/>
      <c r="J17" s="33"/>
      <c r="K17" s="95"/>
      <c r="L17" s="116"/>
      <c r="M17" s="117"/>
      <c r="N17" s="33"/>
      <c r="O17" s="33"/>
      <c r="P17" s="33"/>
      <c r="Q17" s="33"/>
      <c r="R17" s="33"/>
      <c r="S17" s="33"/>
      <c r="T17" s="33"/>
      <c r="U17" s="33"/>
      <c r="V17" s="31"/>
      <c r="W17" s="31"/>
      <c r="X17" s="31"/>
      <c r="Y17" s="31"/>
      <c r="Z17" s="31"/>
      <c r="AA17" s="31"/>
      <c r="AB17" s="31"/>
    </row>
    <row r="18" spans="2:28" hidden="1" x14ac:dyDescent="0.2">
      <c r="B18" s="115"/>
      <c r="C18" s="69"/>
      <c r="D18" s="42"/>
      <c r="E18" s="38"/>
      <c r="F18" s="39"/>
      <c r="G18" s="39"/>
      <c r="H18" s="39"/>
      <c r="I18" s="33"/>
      <c r="J18" s="33"/>
      <c r="K18" s="95"/>
      <c r="L18" s="33"/>
      <c r="M18" s="117"/>
      <c r="N18" s="33"/>
      <c r="O18" s="33"/>
      <c r="P18" s="33"/>
      <c r="Q18" s="33"/>
      <c r="R18" s="33"/>
      <c r="S18" s="33"/>
      <c r="T18" s="33"/>
      <c r="U18" s="33"/>
      <c r="V18" s="31"/>
      <c r="W18" s="31"/>
      <c r="X18" s="31"/>
      <c r="Y18" s="31"/>
      <c r="Z18" s="31"/>
      <c r="AA18" s="31"/>
      <c r="AB18" s="31"/>
    </row>
    <row r="19" spans="2:28" hidden="1" x14ac:dyDescent="0.2">
      <c r="B19" s="115"/>
      <c r="C19" s="69"/>
      <c r="D19" s="42"/>
      <c r="E19" s="38"/>
      <c r="F19" s="39"/>
      <c r="G19" s="39"/>
      <c r="H19" s="39"/>
      <c r="I19" s="33"/>
      <c r="J19" s="33"/>
      <c r="K19" s="95"/>
      <c r="L19" s="33"/>
      <c r="M19" s="117"/>
      <c r="N19" s="33"/>
      <c r="O19" s="33"/>
      <c r="P19" s="33"/>
      <c r="Q19" s="33"/>
      <c r="R19" s="33"/>
      <c r="S19" s="33"/>
      <c r="T19" s="33"/>
      <c r="U19" s="33"/>
      <c r="V19" s="31"/>
      <c r="W19" s="31"/>
      <c r="X19" s="31"/>
      <c r="Y19" s="31"/>
      <c r="Z19" s="31"/>
      <c r="AA19" s="31"/>
      <c r="AB19" s="31"/>
    </row>
    <row r="20" spans="2:28" x14ac:dyDescent="0.2">
      <c r="B20" s="115" t="s">
        <v>67</v>
      </c>
      <c r="C20" s="69">
        <v>0.02</v>
      </c>
      <c r="D20" s="42">
        <f>IF(C20&gt;2%,"INVALID",(D15-D19)*C20)</f>
        <v>346280</v>
      </c>
      <c r="E20" s="38"/>
      <c r="F20" s="39"/>
      <c r="G20" s="39"/>
      <c r="H20" s="39"/>
      <c r="I20" s="33"/>
      <c r="J20" s="33"/>
      <c r="K20" s="95"/>
      <c r="L20" s="33"/>
      <c r="M20" s="33"/>
      <c r="N20" s="33"/>
      <c r="O20" s="33"/>
      <c r="P20" s="33"/>
      <c r="Q20" s="33"/>
      <c r="R20" s="33"/>
      <c r="S20" s="33"/>
      <c r="T20" s="33"/>
      <c r="U20" s="33"/>
      <c r="V20" s="31"/>
      <c r="W20" s="31"/>
      <c r="X20" s="31"/>
      <c r="Y20" s="31"/>
      <c r="Z20" s="31"/>
      <c r="AA20" s="31"/>
      <c r="AB20" s="31"/>
    </row>
    <row r="21" spans="2:28" hidden="1" x14ac:dyDescent="0.2">
      <c r="B21" s="115"/>
      <c r="C21" s="69"/>
      <c r="D21" s="229"/>
      <c r="E21" s="38"/>
      <c r="F21" s="39"/>
      <c r="G21" s="39"/>
      <c r="H21" s="39"/>
      <c r="I21" s="33"/>
      <c r="J21" s="33"/>
      <c r="K21" s="95"/>
      <c r="L21" s="33"/>
      <c r="M21" s="33"/>
      <c r="N21" s="33"/>
      <c r="O21" s="33"/>
      <c r="P21" s="33"/>
      <c r="Q21" s="33"/>
      <c r="R21" s="33"/>
      <c r="S21" s="33"/>
      <c r="T21" s="33"/>
      <c r="U21" s="33"/>
      <c r="V21" s="31"/>
      <c r="W21" s="31"/>
      <c r="X21" s="31"/>
      <c r="Y21" s="31"/>
      <c r="Z21" s="31"/>
      <c r="AA21" s="31"/>
      <c r="AB21" s="31"/>
    </row>
    <row r="22" spans="2:28" x14ac:dyDescent="0.2">
      <c r="B22" s="115">
        <f>IF(INPUT!$D$42="Repeat Buyer",Classic_Mem_Inst1!$L$13,Classic_Mem_Inst1!$L$14)</f>
        <v>0</v>
      </c>
      <c r="C22" s="97">
        <f>IF(B22=Classic_Mem_Inst1!$L$13,Classic_Mem_Inst1!$M$13,Classic_Mem_Inst1!$M$14)</f>
        <v>0</v>
      </c>
      <c r="D22" s="42">
        <f>(D15-D20-D18-D19-D21)*C22</f>
        <v>0</v>
      </c>
      <c r="E22" s="38"/>
      <c r="F22" s="39"/>
      <c r="G22" s="39"/>
      <c r="H22" s="39"/>
      <c r="I22" s="33"/>
      <c r="J22" s="33"/>
      <c r="K22" s="95"/>
      <c r="L22" s="33"/>
      <c r="M22" s="33"/>
      <c r="N22" s="33"/>
      <c r="O22" s="33"/>
      <c r="P22" s="31"/>
      <c r="Q22" s="33"/>
      <c r="R22" s="33"/>
      <c r="S22" s="33"/>
      <c r="T22" s="33"/>
      <c r="U22" s="33"/>
      <c r="V22" s="31"/>
      <c r="W22" s="31"/>
      <c r="X22" s="31"/>
      <c r="Y22" s="31"/>
      <c r="Z22" s="31"/>
      <c r="AA22" s="31"/>
      <c r="AB22" s="31"/>
    </row>
    <row r="23" spans="2:28" x14ac:dyDescent="0.2">
      <c r="B23" s="40" t="s">
        <v>68</v>
      </c>
      <c r="C23" s="97">
        <v>0.05</v>
      </c>
      <c r="D23" s="42">
        <f>((D15-D20-D21-D22)/1.12)*C23</f>
        <v>757487.5</v>
      </c>
      <c r="E23" s="44"/>
      <c r="F23" s="39"/>
      <c r="G23" s="39"/>
      <c r="H23" s="39"/>
      <c r="I23" s="33"/>
      <c r="J23" s="33"/>
      <c r="K23" s="95"/>
      <c r="L23" s="33"/>
      <c r="M23" s="33"/>
      <c r="N23" s="33"/>
      <c r="O23" s="33"/>
      <c r="P23" s="33"/>
      <c r="Q23" s="33"/>
      <c r="R23" s="33"/>
      <c r="S23" s="33"/>
      <c r="T23" s="31"/>
      <c r="U23" s="31"/>
      <c r="V23" s="31"/>
      <c r="W23" s="31"/>
      <c r="X23" s="31"/>
      <c r="Y23" s="31"/>
      <c r="Z23" s="31"/>
      <c r="AA23" s="31"/>
      <c r="AB23" s="31"/>
    </row>
    <row r="24" spans="2:28" ht="15.75" hidden="1" customHeight="1" x14ac:dyDescent="0.2">
      <c r="B24" s="40"/>
      <c r="C24" s="97"/>
      <c r="D24" s="42"/>
      <c r="E24" s="44"/>
      <c r="F24" s="39"/>
      <c r="G24" s="39"/>
      <c r="H24" s="39"/>
      <c r="I24" s="33"/>
      <c r="J24" s="33"/>
      <c r="K24" s="95"/>
      <c r="L24" s="33"/>
      <c r="M24" s="33"/>
      <c r="N24" s="33"/>
      <c r="O24" s="33"/>
      <c r="P24" s="33"/>
      <c r="Q24" s="33"/>
      <c r="R24" s="33"/>
      <c r="S24" s="33"/>
      <c r="T24" s="31"/>
      <c r="U24" s="31"/>
      <c r="V24" s="31"/>
      <c r="W24" s="31"/>
      <c r="X24" s="31"/>
      <c r="Y24" s="31"/>
      <c r="Z24" s="31"/>
      <c r="AA24" s="31"/>
      <c r="AB24" s="31"/>
    </row>
    <row r="25" spans="2:28" ht="15.75" thickBot="1" x14ac:dyDescent="0.25">
      <c r="B25" s="45" t="s">
        <v>265</v>
      </c>
      <c r="C25" s="46"/>
      <c r="D25" s="47">
        <f>(D15-SUM(D19:D22))+SUM(D23)</f>
        <v>17725207.5</v>
      </c>
      <c r="E25" s="38"/>
      <c r="F25" s="39"/>
      <c r="G25" s="39"/>
      <c r="H25" s="39"/>
      <c r="I25" s="33"/>
      <c r="J25" s="33"/>
      <c r="K25" s="95"/>
      <c r="L25" s="33"/>
      <c r="M25" s="33"/>
      <c r="N25" s="33"/>
      <c r="O25" s="33"/>
      <c r="P25" s="33"/>
      <c r="Q25" s="33"/>
      <c r="R25" s="33"/>
      <c r="S25" s="33"/>
      <c r="T25" s="31"/>
      <c r="U25" s="31"/>
      <c r="V25" s="31"/>
      <c r="W25" s="31"/>
      <c r="X25" s="31"/>
      <c r="Y25" s="31"/>
      <c r="Z25" s="31"/>
      <c r="AA25" s="31"/>
      <c r="AB25" s="31"/>
    </row>
    <row r="26" spans="2:28" ht="16.5" thickTop="1" thickBot="1" x14ac:dyDescent="0.25"/>
    <row r="27" spans="2:28" ht="15.75" thickBot="1" x14ac:dyDescent="0.25">
      <c r="B27" s="274" t="s">
        <v>70</v>
      </c>
      <c r="C27" s="275"/>
      <c r="D27" s="78" t="s">
        <v>71</v>
      </c>
      <c r="E27" s="78" t="s">
        <v>72</v>
      </c>
      <c r="F27" s="78" t="s">
        <v>73</v>
      </c>
      <c r="G27" s="78" t="s">
        <v>74</v>
      </c>
      <c r="H27" s="78" t="s">
        <v>75</v>
      </c>
      <c r="I27" s="79" t="s">
        <v>76</v>
      </c>
      <c r="J27" s="33"/>
      <c r="K27" s="33"/>
      <c r="L27" s="33"/>
      <c r="M27" s="33"/>
      <c r="N27" s="33"/>
    </row>
    <row r="28" spans="2:28" x14ac:dyDescent="0.2">
      <c r="B28" s="302">
        <v>0</v>
      </c>
      <c r="C28" s="303"/>
      <c r="D28" s="50">
        <f ca="1">INPUT!D48</f>
        <v>45360</v>
      </c>
      <c r="E28" s="141" t="s">
        <v>77</v>
      </c>
      <c r="F28" s="51">
        <v>50000</v>
      </c>
      <c r="G28" s="51"/>
      <c r="H28" s="51">
        <f>SUM(F28:G28)</f>
        <v>50000</v>
      </c>
      <c r="I28" s="52">
        <f>D25-H28</f>
        <v>17675207.5</v>
      </c>
      <c r="J28" s="53" t="s">
        <v>78</v>
      </c>
      <c r="K28" s="33"/>
      <c r="L28" s="38">
        <v>56000</v>
      </c>
      <c r="M28" s="39">
        <f>L28-F28</f>
        <v>6000</v>
      </c>
      <c r="N28" s="33"/>
    </row>
    <row r="29" spans="2:28" hidden="1" x14ac:dyDescent="0.2">
      <c r="B29" s="290"/>
      <c r="C29" s="265"/>
      <c r="D29" s="70">
        <v>44948</v>
      </c>
      <c r="E29" s="74" t="s">
        <v>79</v>
      </c>
      <c r="F29" s="75"/>
      <c r="G29" s="118"/>
      <c r="H29" s="118">
        <v>0</v>
      </c>
      <c r="I29" s="76">
        <f>I28-H29</f>
        <v>17675207.5</v>
      </c>
      <c r="J29" s="53"/>
      <c r="K29" s="33"/>
      <c r="L29" s="38"/>
      <c r="M29" s="104"/>
      <c r="N29" s="33"/>
      <c r="O29" s="33"/>
      <c r="P29" s="31"/>
      <c r="Q29" s="33"/>
      <c r="R29" s="31"/>
      <c r="S29" s="31"/>
      <c r="T29" s="31"/>
    </row>
    <row r="30" spans="2:28" x14ac:dyDescent="0.2">
      <c r="B30" s="290">
        <f>B29+1</f>
        <v>1</v>
      </c>
      <c r="C30" s="265"/>
      <c r="D30" s="70">
        <f ca="1">EDATE(D28,1)</f>
        <v>45391</v>
      </c>
      <c r="E30" s="134" t="s">
        <v>90</v>
      </c>
      <c r="F30" s="71">
        <f>(D25-D23)-SUM(F28,F31:F73)</f>
        <v>3343543.9999999981</v>
      </c>
      <c r="G30" s="107">
        <f>D23*20%</f>
        <v>151497.5</v>
      </c>
      <c r="H30" s="71">
        <f>SUM(F30:G30)</f>
        <v>3495041.4999999981</v>
      </c>
      <c r="I30" s="76">
        <f>I29-H30</f>
        <v>14180166.000000002</v>
      </c>
      <c r="J30" s="53"/>
      <c r="K30" s="33"/>
      <c r="L30" s="38"/>
      <c r="M30" s="39"/>
      <c r="N30" s="33"/>
    </row>
    <row r="31" spans="2:28" x14ac:dyDescent="0.2">
      <c r="B31" s="290">
        <f t="shared" ref="B31:B73" si="0">B30+1</f>
        <v>2</v>
      </c>
      <c r="C31" s="265"/>
      <c r="D31" s="70">
        <f ca="1">EDATE(D30,1)</f>
        <v>45421</v>
      </c>
      <c r="E31" s="134" t="s">
        <v>91</v>
      </c>
      <c r="F31" s="71">
        <f>((D25-D23)*35%)/42</f>
        <v>141397.66666666666</v>
      </c>
      <c r="G31" s="71">
        <f>(D23*35%)/42</f>
        <v>6312.395833333333</v>
      </c>
      <c r="H31" s="71">
        <f>SUM(F31:G31)</f>
        <v>147710.0625</v>
      </c>
      <c r="I31" s="72">
        <f t="shared" ref="I31:I66" si="1">I30-H31</f>
        <v>14032455.937500002</v>
      </c>
      <c r="J31" s="53"/>
      <c r="K31" s="33"/>
      <c r="L31" s="38"/>
      <c r="M31" s="39"/>
      <c r="N31" s="33"/>
    </row>
    <row r="32" spans="2:28" x14ac:dyDescent="0.2">
      <c r="B32" s="290">
        <f t="shared" si="0"/>
        <v>3</v>
      </c>
      <c r="C32" s="265"/>
      <c r="D32" s="70">
        <f t="shared" ref="D32:D73" ca="1" si="2">EDATE(D31,1)</f>
        <v>45452</v>
      </c>
      <c r="E32" s="203" t="s">
        <v>92</v>
      </c>
      <c r="F32" s="71">
        <f>F31</f>
        <v>141397.66666666666</v>
      </c>
      <c r="G32" s="71">
        <f>G31</f>
        <v>6312.395833333333</v>
      </c>
      <c r="H32" s="71">
        <f>SUM(F32:G32)</f>
        <v>147710.0625</v>
      </c>
      <c r="I32" s="72">
        <f t="shared" si="1"/>
        <v>13884745.875000002</v>
      </c>
      <c r="J32" s="53"/>
      <c r="K32" s="33"/>
      <c r="L32" s="38"/>
      <c r="M32" s="39"/>
      <c r="N32" s="33"/>
    </row>
    <row r="33" spans="2:14" x14ac:dyDescent="0.2">
      <c r="B33" s="290">
        <f t="shared" si="0"/>
        <v>4</v>
      </c>
      <c r="C33" s="265"/>
      <c r="D33" s="70">
        <f t="shared" ca="1" si="2"/>
        <v>45482</v>
      </c>
      <c r="E33" s="203" t="s">
        <v>93</v>
      </c>
      <c r="F33" s="71">
        <f t="shared" ref="F33:G66" si="3">F32</f>
        <v>141397.66666666666</v>
      </c>
      <c r="G33" s="71">
        <f t="shared" si="3"/>
        <v>6312.395833333333</v>
      </c>
      <c r="H33" s="71">
        <f>SUM(F33:G33)</f>
        <v>147710.0625</v>
      </c>
      <c r="I33" s="72">
        <f t="shared" si="1"/>
        <v>13737035.812500002</v>
      </c>
      <c r="J33" s="53"/>
      <c r="K33" s="33"/>
      <c r="L33" s="38"/>
      <c r="M33" s="39"/>
      <c r="N33" s="33"/>
    </row>
    <row r="34" spans="2:14" x14ac:dyDescent="0.2">
      <c r="B34" s="290">
        <f t="shared" si="0"/>
        <v>5</v>
      </c>
      <c r="C34" s="265"/>
      <c r="D34" s="70">
        <f t="shared" ca="1" si="2"/>
        <v>45513</v>
      </c>
      <c r="E34" s="203" t="s">
        <v>94</v>
      </c>
      <c r="F34" s="71">
        <f t="shared" si="3"/>
        <v>141397.66666666666</v>
      </c>
      <c r="G34" s="71">
        <f t="shared" si="3"/>
        <v>6312.395833333333</v>
      </c>
      <c r="H34" s="71">
        <f t="shared" ref="H34:H73" si="4">SUM(F34:G34)</f>
        <v>147710.0625</v>
      </c>
      <c r="I34" s="72">
        <f t="shared" si="1"/>
        <v>13589325.750000002</v>
      </c>
      <c r="J34" s="53"/>
      <c r="K34" s="33"/>
      <c r="L34" s="38"/>
      <c r="M34" s="39"/>
      <c r="N34" s="33"/>
    </row>
    <row r="35" spans="2:14" x14ac:dyDescent="0.2">
      <c r="B35" s="290">
        <f t="shared" si="0"/>
        <v>6</v>
      </c>
      <c r="C35" s="265"/>
      <c r="D35" s="70">
        <f t="shared" ca="1" si="2"/>
        <v>45544</v>
      </c>
      <c r="E35" s="203" t="s">
        <v>95</v>
      </c>
      <c r="F35" s="71">
        <f t="shared" si="3"/>
        <v>141397.66666666666</v>
      </c>
      <c r="G35" s="71">
        <f t="shared" si="3"/>
        <v>6312.395833333333</v>
      </c>
      <c r="H35" s="71">
        <f t="shared" si="4"/>
        <v>147710.0625</v>
      </c>
      <c r="I35" s="72">
        <f t="shared" si="1"/>
        <v>13441615.687500002</v>
      </c>
      <c r="J35" s="53"/>
      <c r="K35" s="33"/>
      <c r="L35" s="38"/>
      <c r="M35" s="39"/>
      <c r="N35" s="33"/>
    </row>
    <row r="36" spans="2:14" x14ac:dyDescent="0.2">
      <c r="B36" s="290">
        <f t="shared" si="0"/>
        <v>7</v>
      </c>
      <c r="C36" s="265"/>
      <c r="D36" s="70">
        <f t="shared" ca="1" si="2"/>
        <v>45574</v>
      </c>
      <c r="E36" s="203" t="s">
        <v>96</v>
      </c>
      <c r="F36" s="71">
        <f t="shared" si="3"/>
        <v>141397.66666666666</v>
      </c>
      <c r="G36" s="71">
        <f t="shared" si="3"/>
        <v>6312.395833333333</v>
      </c>
      <c r="H36" s="71">
        <f t="shared" si="4"/>
        <v>147710.0625</v>
      </c>
      <c r="I36" s="72">
        <f t="shared" si="1"/>
        <v>13293905.625000002</v>
      </c>
      <c r="J36" s="53"/>
      <c r="K36" s="33"/>
      <c r="L36" s="38"/>
      <c r="M36" s="39"/>
      <c r="N36" s="33"/>
    </row>
    <row r="37" spans="2:14" x14ac:dyDescent="0.2">
      <c r="B37" s="290">
        <f t="shared" si="0"/>
        <v>8</v>
      </c>
      <c r="C37" s="265"/>
      <c r="D37" s="70">
        <f t="shared" ca="1" si="2"/>
        <v>45605</v>
      </c>
      <c r="E37" s="203" t="s">
        <v>97</v>
      </c>
      <c r="F37" s="71">
        <f t="shared" si="3"/>
        <v>141397.66666666666</v>
      </c>
      <c r="G37" s="71">
        <f t="shared" si="3"/>
        <v>6312.395833333333</v>
      </c>
      <c r="H37" s="71">
        <f t="shared" si="4"/>
        <v>147710.0625</v>
      </c>
      <c r="I37" s="72">
        <f t="shared" si="1"/>
        <v>13146195.562500002</v>
      </c>
      <c r="J37" s="53"/>
      <c r="K37" s="33"/>
      <c r="L37" s="38"/>
      <c r="M37" s="39"/>
      <c r="N37" s="33"/>
    </row>
    <row r="38" spans="2:14" x14ac:dyDescent="0.2">
      <c r="B38" s="290">
        <f t="shared" si="0"/>
        <v>9</v>
      </c>
      <c r="C38" s="265"/>
      <c r="D38" s="70">
        <f t="shared" ca="1" si="2"/>
        <v>45635</v>
      </c>
      <c r="E38" s="203" t="s">
        <v>98</v>
      </c>
      <c r="F38" s="71">
        <f t="shared" si="3"/>
        <v>141397.66666666666</v>
      </c>
      <c r="G38" s="71">
        <f t="shared" si="3"/>
        <v>6312.395833333333</v>
      </c>
      <c r="H38" s="71">
        <f t="shared" si="4"/>
        <v>147710.0625</v>
      </c>
      <c r="I38" s="72">
        <f t="shared" si="1"/>
        <v>12998485.500000002</v>
      </c>
      <c r="J38" s="53"/>
      <c r="K38" s="33"/>
      <c r="L38" s="38"/>
      <c r="M38" s="39"/>
      <c r="N38" s="33"/>
    </row>
    <row r="39" spans="2:14" x14ac:dyDescent="0.2">
      <c r="B39" s="290">
        <f t="shared" si="0"/>
        <v>10</v>
      </c>
      <c r="C39" s="265"/>
      <c r="D39" s="70">
        <f t="shared" ca="1" si="2"/>
        <v>45666</v>
      </c>
      <c r="E39" s="203" t="s">
        <v>99</v>
      </c>
      <c r="F39" s="71">
        <f t="shared" si="3"/>
        <v>141397.66666666666</v>
      </c>
      <c r="G39" s="71">
        <f t="shared" si="3"/>
        <v>6312.395833333333</v>
      </c>
      <c r="H39" s="71">
        <f t="shared" si="4"/>
        <v>147710.0625</v>
      </c>
      <c r="I39" s="72">
        <f t="shared" si="1"/>
        <v>12850775.437500002</v>
      </c>
      <c r="J39" s="53"/>
      <c r="K39" s="33"/>
      <c r="L39" s="38"/>
      <c r="M39" s="39"/>
      <c r="N39" s="33"/>
    </row>
    <row r="40" spans="2:14" x14ac:dyDescent="0.2">
      <c r="B40" s="290">
        <f t="shared" si="0"/>
        <v>11</v>
      </c>
      <c r="C40" s="265"/>
      <c r="D40" s="70">
        <f t="shared" ca="1" si="2"/>
        <v>45697</v>
      </c>
      <c r="E40" s="203" t="s">
        <v>100</v>
      </c>
      <c r="F40" s="71">
        <f t="shared" si="3"/>
        <v>141397.66666666666</v>
      </c>
      <c r="G40" s="71">
        <f t="shared" si="3"/>
        <v>6312.395833333333</v>
      </c>
      <c r="H40" s="71">
        <f t="shared" si="4"/>
        <v>147710.0625</v>
      </c>
      <c r="I40" s="72">
        <f t="shared" si="1"/>
        <v>12703065.375000002</v>
      </c>
      <c r="J40" s="53"/>
      <c r="K40" s="33"/>
      <c r="L40" s="38"/>
      <c r="M40" s="39"/>
      <c r="N40" s="33"/>
    </row>
    <row r="41" spans="2:14" x14ac:dyDescent="0.2">
      <c r="B41" s="290">
        <f t="shared" si="0"/>
        <v>12</v>
      </c>
      <c r="C41" s="265"/>
      <c r="D41" s="70">
        <f t="shared" ca="1" si="2"/>
        <v>45725</v>
      </c>
      <c r="E41" s="203" t="s">
        <v>101</v>
      </c>
      <c r="F41" s="71">
        <f t="shared" si="3"/>
        <v>141397.66666666666</v>
      </c>
      <c r="G41" s="71">
        <f t="shared" si="3"/>
        <v>6312.395833333333</v>
      </c>
      <c r="H41" s="71">
        <f t="shared" si="4"/>
        <v>147710.0625</v>
      </c>
      <c r="I41" s="72">
        <f t="shared" si="1"/>
        <v>12555355.312500002</v>
      </c>
      <c r="J41" s="53"/>
      <c r="K41" s="33"/>
      <c r="L41" s="38"/>
      <c r="M41" s="39"/>
      <c r="N41" s="33"/>
    </row>
    <row r="42" spans="2:14" x14ac:dyDescent="0.2">
      <c r="B42" s="290">
        <f t="shared" si="0"/>
        <v>13</v>
      </c>
      <c r="C42" s="265"/>
      <c r="D42" s="70">
        <f t="shared" ca="1" si="2"/>
        <v>45756</v>
      </c>
      <c r="E42" s="203" t="s">
        <v>102</v>
      </c>
      <c r="F42" s="71">
        <f t="shared" si="3"/>
        <v>141397.66666666666</v>
      </c>
      <c r="G42" s="71">
        <f t="shared" si="3"/>
        <v>6312.395833333333</v>
      </c>
      <c r="H42" s="71">
        <f t="shared" si="4"/>
        <v>147710.0625</v>
      </c>
      <c r="I42" s="72">
        <f t="shared" si="1"/>
        <v>12407645.250000002</v>
      </c>
      <c r="J42" s="53"/>
      <c r="K42" s="33"/>
      <c r="L42" s="38"/>
      <c r="M42" s="39"/>
      <c r="N42" s="33"/>
    </row>
    <row r="43" spans="2:14" x14ac:dyDescent="0.2">
      <c r="B43" s="290">
        <f t="shared" si="0"/>
        <v>14</v>
      </c>
      <c r="C43" s="265"/>
      <c r="D43" s="70">
        <f t="shared" ca="1" si="2"/>
        <v>45786</v>
      </c>
      <c r="E43" s="203" t="s">
        <v>103</v>
      </c>
      <c r="F43" s="71">
        <f t="shared" si="3"/>
        <v>141397.66666666666</v>
      </c>
      <c r="G43" s="71">
        <f t="shared" si="3"/>
        <v>6312.395833333333</v>
      </c>
      <c r="H43" s="71">
        <f t="shared" si="4"/>
        <v>147710.0625</v>
      </c>
      <c r="I43" s="72">
        <f t="shared" si="1"/>
        <v>12259935.187500002</v>
      </c>
      <c r="J43" s="53"/>
      <c r="K43" s="33"/>
      <c r="L43" s="38"/>
      <c r="M43" s="39"/>
      <c r="N43" s="33"/>
    </row>
    <row r="44" spans="2:14" x14ac:dyDescent="0.2">
      <c r="B44" s="290">
        <f t="shared" si="0"/>
        <v>15</v>
      </c>
      <c r="C44" s="265"/>
      <c r="D44" s="70">
        <f t="shared" ca="1" si="2"/>
        <v>45817</v>
      </c>
      <c r="E44" s="203" t="s">
        <v>104</v>
      </c>
      <c r="F44" s="71">
        <f t="shared" si="3"/>
        <v>141397.66666666666</v>
      </c>
      <c r="G44" s="71">
        <f t="shared" si="3"/>
        <v>6312.395833333333</v>
      </c>
      <c r="H44" s="71">
        <f t="shared" si="4"/>
        <v>147710.0625</v>
      </c>
      <c r="I44" s="72">
        <f t="shared" si="1"/>
        <v>12112225.125000002</v>
      </c>
      <c r="J44" s="53"/>
      <c r="K44" s="33"/>
      <c r="L44" s="38"/>
      <c r="M44" s="39"/>
      <c r="N44" s="33"/>
    </row>
    <row r="45" spans="2:14" x14ac:dyDescent="0.2">
      <c r="B45" s="290">
        <f t="shared" si="0"/>
        <v>16</v>
      </c>
      <c r="C45" s="265"/>
      <c r="D45" s="70">
        <f t="shared" ca="1" si="2"/>
        <v>45847</v>
      </c>
      <c r="E45" s="203" t="s">
        <v>105</v>
      </c>
      <c r="F45" s="71">
        <f t="shared" si="3"/>
        <v>141397.66666666666</v>
      </c>
      <c r="G45" s="71">
        <f t="shared" si="3"/>
        <v>6312.395833333333</v>
      </c>
      <c r="H45" s="71">
        <f t="shared" si="4"/>
        <v>147710.0625</v>
      </c>
      <c r="I45" s="72">
        <f t="shared" si="1"/>
        <v>11964515.062500002</v>
      </c>
      <c r="J45" s="53"/>
      <c r="K45" s="33"/>
      <c r="L45" s="38"/>
      <c r="M45" s="39"/>
      <c r="N45" s="33"/>
    </row>
    <row r="46" spans="2:14" x14ac:dyDescent="0.2">
      <c r="B46" s="290">
        <f t="shared" si="0"/>
        <v>17</v>
      </c>
      <c r="C46" s="265"/>
      <c r="D46" s="70">
        <f t="shared" ca="1" si="2"/>
        <v>45878</v>
      </c>
      <c r="E46" s="203" t="s">
        <v>106</v>
      </c>
      <c r="F46" s="71">
        <f t="shared" si="3"/>
        <v>141397.66666666666</v>
      </c>
      <c r="G46" s="71">
        <f t="shared" si="3"/>
        <v>6312.395833333333</v>
      </c>
      <c r="H46" s="71">
        <f t="shared" si="4"/>
        <v>147710.0625</v>
      </c>
      <c r="I46" s="72">
        <f t="shared" si="1"/>
        <v>11816805.000000002</v>
      </c>
      <c r="J46" s="53"/>
      <c r="K46" s="33"/>
      <c r="L46" s="38"/>
      <c r="M46" s="39"/>
      <c r="N46" s="33"/>
    </row>
    <row r="47" spans="2:14" x14ac:dyDescent="0.2">
      <c r="B47" s="290">
        <f t="shared" si="0"/>
        <v>18</v>
      </c>
      <c r="C47" s="265"/>
      <c r="D47" s="70">
        <f t="shared" ca="1" si="2"/>
        <v>45909</v>
      </c>
      <c r="E47" s="203" t="s">
        <v>107</v>
      </c>
      <c r="F47" s="71">
        <f t="shared" si="3"/>
        <v>141397.66666666666</v>
      </c>
      <c r="G47" s="71">
        <f t="shared" si="3"/>
        <v>6312.395833333333</v>
      </c>
      <c r="H47" s="71">
        <f t="shared" si="4"/>
        <v>147710.0625</v>
      </c>
      <c r="I47" s="72">
        <f t="shared" si="1"/>
        <v>11669094.937500002</v>
      </c>
      <c r="J47" s="53"/>
      <c r="K47" s="33"/>
      <c r="L47" s="38"/>
      <c r="M47" s="39"/>
      <c r="N47" s="33"/>
    </row>
    <row r="48" spans="2:14" x14ac:dyDescent="0.2">
      <c r="B48" s="290">
        <f t="shared" si="0"/>
        <v>19</v>
      </c>
      <c r="C48" s="265"/>
      <c r="D48" s="70">
        <f t="shared" ca="1" si="2"/>
        <v>45939</v>
      </c>
      <c r="E48" s="203" t="s">
        <v>108</v>
      </c>
      <c r="F48" s="71">
        <f t="shared" si="3"/>
        <v>141397.66666666666</v>
      </c>
      <c r="G48" s="71">
        <f t="shared" si="3"/>
        <v>6312.395833333333</v>
      </c>
      <c r="H48" s="71">
        <f t="shared" si="4"/>
        <v>147710.0625</v>
      </c>
      <c r="I48" s="72">
        <f t="shared" si="1"/>
        <v>11521384.875000002</v>
      </c>
      <c r="J48" s="53"/>
      <c r="K48" s="33"/>
      <c r="L48" s="38"/>
      <c r="M48" s="39"/>
      <c r="N48" s="33"/>
    </row>
    <row r="49" spans="2:14" x14ac:dyDescent="0.2">
      <c r="B49" s="290">
        <f t="shared" si="0"/>
        <v>20</v>
      </c>
      <c r="C49" s="265"/>
      <c r="D49" s="70">
        <f t="shared" ca="1" si="2"/>
        <v>45970</v>
      </c>
      <c r="E49" s="203" t="s">
        <v>109</v>
      </c>
      <c r="F49" s="71">
        <f t="shared" si="3"/>
        <v>141397.66666666666</v>
      </c>
      <c r="G49" s="71">
        <f t="shared" si="3"/>
        <v>6312.395833333333</v>
      </c>
      <c r="H49" s="71">
        <f t="shared" si="4"/>
        <v>147710.0625</v>
      </c>
      <c r="I49" s="72">
        <f t="shared" si="1"/>
        <v>11373674.812500002</v>
      </c>
      <c r="J49" s="53"/>
      <c r="K49" s="33"/>
      <c r="L49" s="38"/>
      <c r="M49" s="39"/>
      <c r="N49" s="33"/>
    </row>
    <row r="50" spans="2:14" x14ac:dyDescent="0.2">
      <c r="B50" s="290">
        <f t="shared" si="0"/>
        <v>21</v>
      </c>
      <c r="C50" s="265"/>
      <c r="D50" s="70">
        <f t="shared" ca="1" si="2"/>
        <v>46000</v>
      </c>
      <c r="E50" s="203" t="s">
        <v>110</v>
      </c>
      <c r="F50" s="71">
        <f t="shared" si="3"/>
        <v>141397.66666666666</v>
      </c>
      <c r="G50" s="71">
        <f t="shared" si="3"/>
        <v>6312.395833333333</v>
      </c>
      <c r="H50" s="71">
        <f t="shared" si="4"/>
        <v>147710.0625</v>
      </c>
      <c r="I50" s="72">
        <f t="shared" si="1"/>
        <v>11225964.750000002</v>
      </c>
      <c r="J50" s="53"/>
      <c r="K50" s="33"/>
      <c r="L50" s="38"/>
      <c r="M50" s="39"/>
      <c r="N50" s="33"/>
    </row>
    <row r="51" spans="2:14" x14ac:dyDescent="0.2">
      <c r="B51" s="290">
        <f t="shared" si="0"/>
        <v>22</v>
      </c>
      <c r="C51" s="265"/>
      <c r="D51" s="70">
        <f t="shared" ca="1" si="2"/>
        <v>46031</v>
      </c>
      <c r="E51" s="203" t="s">
        <v>111</v>
      </c>
      <c r="F51" s="71">
        <f t="shared" si="3"/>
        <v>141397.66666666666</v>
      </c>
      <c r="G51" s="71">
        <f t="shared" si="3"/>
        <v>6312.395833333333</v>
      </c>
      <c r="H51" s="71">
        <f t="shared" si="4"/>
        <v>147710.0625</v>
      </c>
      <c r="I51" s="72">
        <f t="shared" si="1"/>
        <v>11078254.687500002</v>
      </c>
      <c r="J51" s="53"/>
      <c r="K51" s="33"/>
      <c r="L51" s="38"/>
      <c r="M51" s="39"/>
      <c r="N51" s="33"/>
    </row>
    <row r="52" spans="2:14" x14ac:dyDescent="0.2">
      <c r="B52" s="290">
        <f t="shared" si="0"/>
        <v>23</v>
      </c>
      <c r="C52" s="265"/>
      <c r="D52" s="70">
        <f t="shared" ca="1" si="2"/>
        <v>46062</v>
      </c>
      <c r="E52" s="203" t="s">
        <v>112</v>
      </c>
      <c r="F52" s="71">
        <f t="shared" si="3"/>
        <v>141397.66666666666</v>
      </c>
      <c r="G52" s="71">
        <f t="shared" si="3"/>
        <v>6312.395833333333</v>
      </c>
      <c r="H52" s="71">
        <f t="shared" si="4"/>
        <v>147710.0625</v>
      </c>
      <c r="I52" s="72">
        <f t="shared" si="1"/>
        <v>10930544.625000002</v>
      </c>
      <c r="J52" s="53"/>
      <c r="K52" s="33"/>
      <c r="L52" s="38"/>
      <c r="M52" s="39"/>
      <c r="N52" s="33"/>
    </row>
    <row r="53" spans="2:14" x14ac:dyDescent="0.2">
      <c r="B53" s="290">
        <f t="shared" si="0"/>
        <v>24</v>
      </c>
      <c r="C53" s="265"/>
      <c r="D53" s="70">
        <f t="shared" ca="1" si="2"/>
        <v>46090</v>
      </c>
      <c r="E53" s="203" t="s">
        <v>113</v>
      </c>
      <c r="F53" s="71">
        <f t="shared" si="3"/>
        <v>141397.66666666666</v>
      </c>
      <c r="G53" s="71">
        <f t="shared" si="3"/>
        <v>6312.395833333333</v>
      </c>
      <c r="H53" s="71">
        <f t="shared" si="4"/>
        <v>147710.0625</v>
      </c>
      <c r="I53" s="72">
        <f t="shared" si="1"/>
        <v>10782834.562500002</v>
      </c>
      <c r="J53" s="53"/>
      <c r="K53" s="33"/>
      <c r="L53" s="38"/>
      <c r="M53" s="39"/>
      <c r="N53" s="33"/>
    </row>
    <row r="54" spans="2:14" x14ac:dyDescent="0.2">
      <c r="B54" s="290">
        <f t="shared" si="0"/>
        <v>25</v>
      </c>
      <c r="C54" s="265"/>
      <c r="D54" s="70">
        <f t="shared" ca="1" si="2"/>
        <v>46121</v>
      </c>
      <c r="E54" s="203" t="s">
        <v>114</v>
      </c>
      <c r="F54" s="71">
        <f t="shared" si="3"/>
        <v>141397.66666666666</v>
      </c>
      <c r="G54" s="71">
        <f t="shared" si="3"/>
        <v>6312.395833333333</v>
      </c>
      <c r="H54" s="71">
        <f t="shared" si="4"/>
        <v>147710.0625</v>
      </c>
      <c r="I54" s="72">
        <f t="shared" si="1"/>
        <v>10635124.500000002</v>
      </c>
      <c r="J54" s="53"/>
      <c r="K54" s="33"/>
      <c r="L54" s="38"/>
      <c r="M54" s="39"/>
      <c r="N54" s="33"/>
    </row>
    <row r="55" spans="2:14" x14ac:dyDescent="0.2">
      <c r="B55" s="290">
        <f t="shared" si="0"/>
        <v>26</v>
      </c>
      <c r="C55" s="265"/>
      <c r="D55" s="70">
        <f t="shared" ca="1" si="2"/>
        <v>46151</v>
      </c>
      <c r="E55" s="203" t="s">
        <v>119</v>
      </c>
      <c r="F55" s="71">
        <f t="shared" si="3"/>
        <v>141397.66666666666</v>
      </c>
      <c r="G55" s="71">
        <f t="shared" si="3"/>
        <v>6312.395833333333</v>
      </c>
      <c r="H55" s="71">
        <f t="shared" si="4"/>
        <v>147710.0625</v>
      </c>
      <c r="I55" s="72">
        <f t="shared" si="1"/>
        <v>10487414.437500002</v>
      </c>
      <c r="J55" s="53"/>
      <c r="K55" s="33"/>
      <c r="L55" s="38"/>
      <c r="M55" s="39"/>
      <c r="N55" s="33"/>
    </row>
    <row r="56" spans="2:14" x14ac:dyDescent="0.2">
      <c r="B56" s="290">
        <f t="shared" si="0"/>
        <v>27</v>
      </c>
      <c r="C56" s="265"/>
      <c r="D56" s="70">
        <f t="shared" ca="1" si="2"/>
        <v>46182</v>
      </c>
      <c r="E56" s="203" t="s">
        <v>120</v>
      </c>
      <c r="F56" s="71">
        <f t="shared" si="3"/>
        <v>141397.66666666666</v>
      </c>
      <c r="G56" s="71">
        <f t="shared" si="3"/>
        <v>6312.395833333333</v>
      </c>
      <c r="H56" s="71">
        <f t="shared" si="4"/>
        <v>147710.0625</v>
      </c>
      <c r="I56" s="72">
        <f t="shared" si="1"/>
        <v>10339704.375000002</v>
      </c>
      <c r="J56" s="53"/>
      <c r="K56" s="33"/>
      <c r="L56" s="38"/>
      <c r="M56" s="39"/>
      <c r="N56" s="33"/>
    </row>
    <row r="57" spans="2:14" x14ac:dyDescent="0.2">
      <c r="B57" s="290">
        <f t="shared" si="0"/>
        <v>28</v>
      </c>
      <c r="C57" s="265"/>
      <c r="D57" s="70">
        <f t="shared" ca="1" si="2"/>
        <v>46212</v>
      </c>
      <c r="E57" s="203" t="s">
        <v>121</v>
      </c>
      <c r="F57" s="71">
        <f t="shared" si="3"/>
        <v>141397.66666666666</v>
      </c>
      <c r="G57" s="71">
        <f t="shared" si="3"/>
        <v>6312.395833333333</v>
      </c>
      <c r="H57" s="71">
        <f t="shared" si="4"/>
        <v>147710.0625</v>
      </c>
      <c r="I57" s="72">
        <f t="shared" si="1"/>
        <v>10191994.312500002</v>
      </c>
      <c r="J57" s="53"/>
      <c r="K57" s="33"/>
      <c r="L57" s="38"/>
      <c r="M57" s="39"/>
      <c r="N57" s="33"/>
    </row>
    <row r="58" spans="2:14" x14ac:dyDescent="0.2">
      <c r="B58" s="290">
        <f t="shared" si="0"/>
        <v>29</v>
      </c>
      <c r="C58" s="265"/>
      <c r="D58" s="70">
        <f t="shared" ca="1" si="2"/>
        <v>46243</v>
      </c>
      <c r="E58" s="203" t="s">
        <v>122</v>
      </c>
      <c r="F58" s="71">
        <f t="shared" si="3"/>
        <v>141397.66666666666</v>
      </c>
      <c r="G58" s="71">
        <f t="shared" si="3"/>
        <v>6312.395833333333</v>
      </c>
      <c r="H58" s="71">
        <f t="shared" si="4"/>
        <v>147710.0625</v>
      </c>
      <c r="I58" s="72">
        <f t="shared" si="1"/>
        <v>10044284.250000002</v>
      </c>
      <c r="J58" s="53"/>
      <c r="K58" s="33"/>
      <c r="L58" s="38"/>
      <c r="M58" s="39"/>
      <c r="N58" s="33"/>
    </row>
    <row r="59" spans="2:14" x14ac:dyDescent="0.2">
      <c r="B59" s="290">
        <f t="shared" si="0"/>
        <v>30</v>
      </c>
      <c r="C59" s="265"/>
      <c r="D59" s="70">
        <f t="shared" ca="1" si="2"/>
        <v>46274</v>
      </c>
      <c r="E59" s="203" t="s">
        <v>123</v>
      </c>
      <c r="F59" s="71">
        <f t="shared" si="3"/>
        <v>141397.66666666666</v>
      </c>
      <c r="G59" s="71">
        <f t="shared" si="3"/>
        <v>6312.395833333333</v>
      </c>
      <c r="H59" s="71">
        <f t="shared" si="4"/>
        <v>147710.0625</v>
      </c>
      <c r="I59" s="72">
        <f t="shared" si="1"/>
        <v>9896574.1875000019</v>
      </c>
      <c r="J59" s="53"/>
      <c r="K59" s="33"/>
      <c r="L59" s="38"/>
      <c r="M59" s="39"/>
      <c r="N59" s="33"/>
    </row>
    <row r="60" spans="2:14" x14ac:dyDescent="0.2">
      <c r="B60" s="290">
        <f t="shared" si="0"/>
        <v>31</v>
      </c>
      <c r="C60" s="265"/>
      <c r="D60" s="70">
        <f t="shared" ca="1" si="2"/>
        <v>46304</v>
      </c>
      <c r="E60" s="203" t="s">
        <v>124</v>
      </c>
      <c r="F60" s="71">
        <f t="shared" si="3"/>
        <v>141397.66666666666</v>
      </c>
      <c r="G60" s="71">
        <f t="shared" si="3"/>
        <v>6312.395833333333</v>
      </c>
      <c r="H60" s="71">
        <f t="shared" si="4"/>
        <v>147710.0625</v>
      </c>
      <c r="I60" s="72">
        <f t="shared" si="1"/>
        <v>9748864.1250000019</v>
      </c>
      <c r="J60" s="53"/>
      <c r="K60" s="33"/>
      <c r="L60" s="38"/>
      <c r="M60" s="39"/>
      <c r="N60" s="33"/>
    </row>
    <row r="61" spans="2:14" x14ac:dyDescent="0.2">
      <c r="B61" s="290">
        <f t="shared" si="0"/>
        <v>32</v>
      </c>
      <c r="C61" s="265"/>
      <c r="D61" s="70">
        <f t="shared" ca="1" si="2"/>
        <v>46335</v>
      </c>
      <c r="E61" s="203" t="s">
        <v>125</v>
      </c>
      <c r="F61" s="71">
        <f t="shared" si="3"/>
        <v>141397.66666666666</v>
      </c>
      <c r="G61" s="71">
        <f t="shared" si="3"/>
        <v>6312.395833333333</v>
      </c>
      <c r="H61" s="71">
        <f t="shared" si="4"/>
        <v>147710.0625</v>
      </c>
      <c r="I61" s="72">
        <f t="shared" si="1"/>
        <v>9601154.0625000019</v>
      </c>
      <c r="J61" s="53"/>
      <c r="K61" s="33"/>
      <c r="L61" s="38"/>
      <c r="M61" s="39"/>
      <c r="N61" s="33"/>
    </row>
    <row r="62" spans="2:14" x14ac:dyDescent="0.2">
      <c r="B62" s="290">
        <f t="shared" si="0"/>
        <v>33</v>
      </c>
      <c r="C62" s="265"/>
      <c r="D62" s="70">
        <f t="shared" ca="1" si="2"/>
        <v>46365</v>
      </c>
      <c r="E62" s="203" t="s">
        <v>126</v>
      </c>
      <c r="F62" s="71">
        <f t="shared" si="3"/>
        <v>141397.66666666666</v>
      </c>
      <c r="G62" s="71">
        <f t="shared" si="3"/>
        <v>6312.395833333333</v>
      </c>
      <c r="H62" s="71">
        <f t="shared" si="4"/>
        <v>147710.0625</v>
      </c>
      <c r="I62" s="72">
        <f t="shared" si="1"/>
        <v>9453444.0000000019</v>
      </c>
      <c r="J62" s="53"/>
      <c r="K62" s="33"/>
      <c r="L62" s="38"/>
      <c r="M62" s="39"/>
      <c r="N62" s="33"/>
    </row>
    <row r="63" spans="2:14" x14ac:dyDescent="0.2">
      <c r="B63" s="290">
        <f t="shared" si="0"/>
        <v>34</v>
      </c>
      <c r="C63" s="265"/>
      <c r="D63" s="70">
        <f t="shared" ca="1" si="2"/>
        <v>46396</v>
      </c>
      <c r="E63" s="203" t="s">
        <v>127</v>
      </c>
      <c r="F63" s="71">
        <f t="shared" si="3"/>
        <v>141397.66666666666</v>
      </c>
      <c r="G63" s="71">
        <f t="shared" si="3"/>
        <v>6312.395833333333</v>
      </c>
      <c r="H63" s="71">
        <f t="shared" si="4"/>
        <v>147710.0625</v>
      </c>
      <c r="I63" s="72">
        <f t="shared" si="1"/>
        <v>9305733.9375000019</v>
      </c>
      <c r="J63" s="53"/>
      <c r="K63" s="33"/>
      <c r="L63" s="38"/>
      <c r="M63" s="39"/>
      <c r="N63" s="33"/>
    </row>
    <row r="64" spans="2:14" x14ac:dyDescent="0.2">
      <c r="B64" s="290">
        <f t="shared" si="0"/>
        <v>35</v>
      </c>
      <c r="C64" s="265"/>
      <c r="D64" s="70">
        <f t="shared" ca="1" si="2"/>
        <v>46427</v>
      </c>
      <c r="E64" s="203" t="s">
        <v>128</v>
      </c>
      <c r="F64" s="71">
        <f t="shared" si="3"/>
        <v>141397.66666666666</v>
      </c>
      <c r="G64" s="71">
        <f t="shared" si="3"/>
        <v>6312.395833333333</v>
      </c>
      <c r="H64" s="71">
        <f t="shared" si="4"/>
        <v>147710.0625</v>
      </c>
      <c r="I64" s="72">
        <f t="shared" si="1"/>
        <v>9158023.8750000019</v>
      </c>
      <c r="J64" s="53"/>
      <c r="K64" s="33"/>
      <c r="L64" s="38"/>
      <c r="M64" s="39"/>
      <c r="N64" s="33"/>
    </row>
    <row r="65" spans="2:18" x14ac:dyDescent="0.2">
      <c r="B65" s="290">
        <f t="shared" si="0"/>
        <v>36</v>
      </c>
      <c r="C65" s="265"/>
      <c r="D65" s="70">
        <f t="shared" ca="1" si="2"/>
        <v>46455</v>
      </c>
      <c r="E65" s="203" t="s">
        <v>129</v>
      </c>
      <c r="F65" s="71">
        <f t="shared" si="3"/>
        <v>141397.66666666666</v>
      </c>
      <c r="G65" s="71">
        <f t="shared" si="3"/>
        <v>6312.395833333333</v>
      </c>
      <c r="H65" s="71">
        <f t="shared" si="4"/>
        <v>147710.0625</v>
      </c>
      <c r="I65" s="72">
        <f t="shared" si="1"/>
        <v>9010313.8125000019</v>
      </c>
      <c r="J65" s="53"/>
      <c r="K65" s="33"/>
      <c r="L65" s="38"/>
      <c r="M65" s="39"/>
      <c r="N65" s="33"/>
    </row>
    <row r="66" spans="2:18" x14ac:dyDescent="0.2">
      <c r="B66" s="290">
        <f t="shared" si="0"/>
        <v>37</v>
      </c>
      <c r="C66" s="265"/>
      <c r="D66" s="70">
        <f t="shared" ca="1" si="2"/>
        <v>46486</v>
      </c>
      <c r="E66" s="203" t="s">
        <v>130</v>
      </c>
      <c r="F66" s="71">
        <f t="shared" si="3"/>
        <v>141397.66666666666</v>
      </c>
      <c r="G66" s="71">
        <f t="shared" si="3"/>
        <v>6312.395833333333</v>
      </c>
      <c r="H66" s="71">
        <f t="shared" si="4"/>
        <v>147710.0625</v>
      </c>
      <c r="I66" s="72">
        <f t="shared" si="1"/>
        <v>8862603.7500000019</v>
      </c>
      <c r="J66" s="53"/>
      <c r="K66" s="33"/>
      <c r="L66" s="38"/>
      <c r="M66" s="39"/>
      <c r="N66" s="33"/>
    </row>
    <row r="67" spans="2:18" x14ac:dyDescent="0.2">
      <c r="B67" s="290">
        <f t="shared" si="0"/>
        <v>38</v>
      </c>
      <c r="C67" s="265"/>
      <c r="D67" s="70">
        <f t="shared" ca="1" si="2"/>
        <v>46516</v>
      </c>
      <c r="E67" s="203" t="s">
        <v>131</v>
      </c>
      <c r="F67" s="71">
        <f t="shared" ref="F67:G67" si="5">F66</f>
        <v>141397.66666666666</v>
      </c>
      <c r="G67" s="71">
        <f t="shared" si="5"/>
        <v>6312.395833333333</v>
      </c>
      <c r="H67" s="71">
        <f t="shared" ref="H67:H72" si="6">SUM(F67:G67)</f>
        <v>147710.0625</v>
      </c>
      <c r="I67" s="72">
        <f t="shared" ref="I67:I73" si="7">I66-H67</f>
        <v>8714893.6875000019</v>
      </c>
      <c r="J67" s="53"/>
      <c r="K67" s="33"/>
      <c r="L67" s="38"/>
      <c r="M67" s="39"/>
      <c r="N67" s="33"/>
    </row>
    <row r="68" spans="2:18" x14ac:dyDescent="0.2">
      <c r="B68" s="290">
        <f t="shared" si="0"/>
        <v>39</v>
      </c>
      <c r="C68" s="265"/>
      <c r="D68" s="70">
        <f t="shared" ca="1" si="2"/>
        <v>46547</v>
      </c>
      <c r="E68" s="203" t="s">
        <v>132</v>
      </c>
      <c r="F68" s="71">
        <f t="shared" ref="F68:G68" si="8">F67</f>
        <v>141397.66666666666</v>
      </c>
      <c r="G68" s="71">
        <f t="shared" si="8"/>
        <v>6312.395833333333</v>
      </c>
      <c r="H68" s="71">
        <f t="shared" si="6"/>
        <v>147710.0625</v>
      </c>
      <c r="I68" s="72">
        <f t="shared" si="7"/>
        <v>8567183.6250000019</v>
      </c>
      <c r="J68" s="53"/>
      <c r="K68" s="33"/>
      <c r="L68" s="38"/>
      <c r="M68" s="39"/>
      <c r="N68" s="33"/>
    </row>
    <row r="69" spans="2:18" x14ac:dyDescent="0.2">
      <c r="B69" s="290">
        <f t="shared" si="0"/>
        <v>40</v>
      </c>
      <c r="C69" s="265"/>
      <c r="D69" s="70">
        <f t="shared" ca="1" si="2"/>
        <v>46577</v>
      </c>
      <c r="E69" s="203" t="s">
        <v>133</v>
      </c>
      <c r="F69" s="71">
        <f t="shared" ref="F69:G69" si="9">F68</f>
        <v>141397.66666666666</v>
      </c>
      <c r="G69" s="71">
        <f t="shared" si="9"/>
        <v>6312.395833333333</v>
      </c>
      <c r="H69" s="71">
        <f t="shared" si="6"/>
        <v>147710.0625</v>
      </c>
      <c r="I69" s="72">
        <f t="shared" si="7"/>
        <v>8419473.5625000019</v>
      </c>
      <c r="J69" s="53"/>
      <c r="K69" s="33"/>
      <c r="L69" s="38"/>
      <c r="M69" s="39"/>
      <c r="N69" s="33"/>
    </row>
    <row r="70" spans="2:18" x14ac:dyDescent="0.2">
      <c r="B70" s="290">
        <f t="shared" si="0"/>
        <v>41</v>
      </c>
      <c r="C70" s="265"/>
      <c r="D70" s="70">
        <f t="shared" ca="1" si="2"/>
        <v>46608</v>
      </c>
      <c r="E70" s="203" t="s">
        <v>134</v>
      </c>
      <c r="F70" s="71">
        <f t="shared" ref="F70:G70" si="10">F69</f>
        <v>141397.66666666666</v>
      </c>
      <c r="G70" s="71">
        <f t="shared" si="10"/>
        <v>6312.395833333333</v>
      </c>
      <c r="H70" s="71">
        <f t="shared" si="6"/>
        <v>147710.0625</v>
      </c>
      <c r="I70" s="72">
        <f t="shared" si="7"/>
        <v>8271763.5000000019</v>
      </c>
      <c r="J70" s="53"/>
      <c r="K70" s="33"/>
      <c r="L70" s="38"/>
      <c r="M70" s="39"/>
      <c r="N70" s="33"/>
    </row>
    <row r="71" spans="2:18" x14ac:dyDescent="0.2">
      <c r="B71" s="290">
        <f t="shared" si="0"/>
        <v>42</v>
      </c>
      <c r="C71" s="265"/>
      <c r="D71" s="70">
        <f t="shared" ca="1" si="2"/>
        <v>46639</v>
      </c>
      <c r="E71" s="203" t="s">
        <v>135</v>
      </c>
      <c r="F71" s="71">
        <f t="shared" ref="F71:G71" si="11">F70</f>
        <v>141397.66666666666</v>
      </c>
      <c r="G71" s="71">
        <f t="shared" si="11"/>
        <v>6312.395833333333</v>
      </c>
      <c r="H71" s="71">
        <f t="shared" si="6"/>
        <v>147710.0625</v>
      </c>
      <c r="I71" s="72">
        <f t="shared" si="7"/>
        <v>8124053.4375000019</v>
      </c>
      <c r="J71" s="53"/>
      <c r="K71" s="33"/>
      <c r="L71" s="38"/>
      <c r="M71" s="39"/>
      <c r="N71" s="33"/>
    </row>
    <row r="72" spans="2:18" x14ac:dyDescent="0.2">
      <c r="B72" s="290">
        <f t="shared" si="0"/>
        <v>43</v>
      </c>
      <c r="C72" s="265"/>
      <c r="D72" s="70">
        <f t="shared" ca="1" si="2"/>
        <v>46669</v>
      </c>
      <c r="E72" s="203" t="s">
        <v>136</v>
      </c>
      <c r="F72" s="71">
        <f t="shared" ref="F72:G72" si="12">F71</f>
        <v>141397.66666666666</v>
      </c>
      <c r="G72" s="71">
        <f t="shared" si="12"/>
        <v>6312.395833333333</v>
      </c>
      <c r="H72" s="71">
        <f t="shared" si="6"/>
        <v>147710.0625</v>
      </c>
      <c r="I72" s="72">
        <f t="shared" si="7"/>
        <v>7976343.3750000019</v>
      </c>
      <c r="J72" s="72">
        <f t="shared" ref="J72" si="13">J71-I72</f>
        <v>-7976343.3750000019</v>
      </c>
      <c r="K72" s="72">
        <f t="shared" ref="K72" si="14">K71-J72</f>
        <v>7976343.3750000019</v>
      </c>
      <c r="L72" s="38"/>
      <c r="M72" s="39"/>
      <c r="N72" s="33"/>
    </row>
    <row r="73" spans="2:18" ht="15.75" thickBot="1" x14ac:dyDescent="0.25">
      <c r="B73" s="290">
        <f t="shared" si="0"/>
        <v>44</v>
      </c>
      <c r="C73" s="265"/>
      <c r="D73" s="70">
        <f t="shared" ca="1" si="2"/>
        <v>46700</v>
      </c>
      <c r="E73" s="140" t="s">
        <v>143</v>
      </c>
      <c r="F73" s="100">
        <f>((D25-D23)*45%)</f>
        <v>7635474</v>
      </c>
      <c r="G73" s="100">
        <f>(D23*45%)</f>
        <v>340869.375</v>
      </c>
      <c r="H73" s="100">
        <f t="shared" si="4"/>
        <v>7976343.375</v>
      </c>
      <c r="I73" s="72">
        <f t="shared" si="7"/>
        <v>0</v>
      </c>
      <c r="J73" s="53"/>
      <c r="K73" s="33"/>
      <c r="L73" s="38"/>
      <c r="M73" s="39"/>
      <c r="N73" s="33"/>
    </row>
    <row r="74" spans="2:18" ht="15.75" thickBot="1" x14ac:dyDescent="0.25">
      <c r="B74" s="54"/>
      <c r="C74" s="55"/>
      <c r="D74" s="56"/>
      <c r="E74" s="57" t="s">
        <v>81</v>
      </c>
      <c r="F74" s="58">
        <f>SUM(F28:F73)</f>
        <v>16967720</v>
      </c>
      <c r="G74" s="58">
        <f>SUM(G28:G73)</f>
        <v>757487.49999999977</v>
      </c>
      <c r="H74" s="58">
        <f>SUM(H28:H73)</f>
        <v>17725207.5</v>
      </c>
      <c r="I74" s="59"/>
      <c r="J74" s="33"/>
      <c r="K74" s="33"/>
      <c r="L74" s="38">
        <f>SUM(L28:L73)</f>
        <v>56000</v>
      </c>
      <c r="M74" s="39">
        <f>L74-F74</f>
        <v>-16911720</v>
      </c>
      <c r="N74" s="33"/>
    </row>
    <row r="75" spans="2:18" x14ac:dyDescent="0.2">
      <c r="D75" s="60"/>
      <c r="L75" s="61"/>
    </row>
    <row r="76" spans="2:18" x14ac:dyDescent="0.2">
      <c r="B76" s="62" t="s">
        <v>82</v>
      </c>
      <c r="C76" s="62"/>
      <c r="D76" s="60"/>
      <c r="M76" s="33"/>
      <c r="N76" s="38"/>
      <c r="O76" s="33"/>
      <c r="P76" s="33"/>
      <c r="Q76" s="65"/>
      <c r="R76" s="65"/>
    </row>
    <row r="77" spans="2:18" ht="15" customHeight="1" x14ac:dyDescent="0.2">
      <c r="B77" s="261" t="s">
        <v>266</v>
      </c>
      <c r="C77" s="261"/>
      <c r="D77" s="261"/>
      <c r="E77" s="261"/>
      <c r="F77" s="261"/>
      <c r="G77" s="261"/>
      <c r="H77" s="261"/>
      <c r="I77" s="261"/>
      <c r="J77" s="111"/>
      <c r="K77" s="111"/>
      <c r="M77" s="33"/>
      <c r="N77" s="33"/>
      <c r="O77" s="33"/>
      <c r="P77" s="33"/>
      <c r="Q77" s="65"/>
      <c r="R77" s="65"/>
    </row>
    <row r="78" spans="2:18" ht="15" customHeight="1" x14ac:dyDescent="0.2">
      <c r="B78" s="261"/>
      <c r="C78" s="261"/>
      <c r="D78" s="261"/>
      <c r="E78" s="261"/>
      <c r="F78" s="261"/>
      <c r="G78" s="261"/>
      <c r="H78" s="261"/>
      <c r="I78" s="261"/>
      <c r="J78" s="260"/>
      <c r="K78" s="260"/>
      <c r="M78" s="33"/>
      <c r="N78" s="33"/>
      <c r="O78" s="33"/>
      <c r="P78" s="33"/>
      <c r="Q78" s="65"/>
      <c r="R78" s="65"/>
    </row>
    <row r="79" spans="2:18" ht="15" customHeight="1" x14ac:dyDescent="0.2">
      <c r="B79" s="261"/>
      <c r="C79" s="261"/>
      <c r="D79" s="261"/>
      <c r="E79" s="261"/>
      <c r="F79" s="261"/>
      <c r="G79" s="261"/>
      <c r="H79" s="261"/>
      <c r="I79" s="261"/>
      <c r="J79" s="260"/>
      <c r="K79" s="260"/>
      <c r="M79" s="33"/>
      <c r="N79" s="33"/>
      <c r="O79" s="33"/>
      <c r="P79" s="33"/>
      <c r="Q79" s="65"/>
      <c r="R79" s="65"/>
    </row>
    <row r="80" spans="2:18" x14ac:dyDescent="0.2">
      <c r="B80" s="261"/>
      <c r="C80" s="261"/>
      <c r="D80" s="261"/>
      <c r="E80" s="261"/>
      <c r="F80" s="261"/>
      <c r="G80" s="261"/>
      <c r="H80" s="261"/>
      <c r="I80" s="261"/>
      <c r="J80" s="260"/>
      <c r="K80" s="260"/>
      <c r="M80" s="33"/>
      <c r="N80" s="33"/>
      <c r="O80" s="33"/>
      <c r="P80" s="33"/>
      <c r="Q80" s="65"/>
      <c r="R80" s="65"/>
    </row>
    <row r="81" spans="1:18" ht="94.5" customHeight="1" x14ac:dyDescent="0.2">
      <c r="B81" s="261"/>
      <c r="C81" s="261"/>
      <c r="D81" s="261"/>
      <c r="E81" s="261"/>
      <c r="F81" s="261"/>
      <c r="G81" s="261"/>
      <c r="H81" s="261"/>
      <c r="I81" s="261"/>
      <c r="J81" s="260"/>
      <c r="K81" s="260"/>
      <c r="M81" s="33"/>
      <c r="N81" s="33"/>
      <c r="O81" s="33"/>
      <c r="P81" s="33"/>
      <c r="Q81" s="65"/>
      <c r="R81" s="65"/>
    </row>
    <row r="82" spans="1:18" ht="6.75" hidden="1" customHeight="1" x14ac:dyDescent="0.2">
      <c r="B82" s="261"/>
      <c r="C82" s="261"/>
      <c r="D82" s="261"/>
      <c r="E82" s="261"/>
      <c r="F82" s="261"/>
      <c r="G82" s="261"/>
      <c r="H82" s="261"/>
      <c r="I82" s="261"/>
      <c r="J82" s="260"/>
      <c r="K82" s="260"/>
      <c r="M82" s="33"/>
      <c r="N82" s="33"/>
      <c r="O82" s="33"/>
      <c r="P82" s="33"/>
      <c r="Q82" s="65"/>
      <c r="R82" s="65"/>
    </row>
    <row r="83" spans="1:18" ht="39.75" customHeight="1" x14ac:dyDescent="0.2">
      <c r="B83" s="261"/>
      <c r="C83" s="261"/>
      <c r="D83" s="261"/>
      <c r="E83" s="261"/>
      <c r="F83" s="261"/>
      <c r="G83" s="261"/>
      <c r="H83" s="261"/>
      <c r="I83" s="261"/>
      <c r="J83" s="260"/>
      <c r="K83" s="260"/>
      <c r="M83" s="33"/>
      <c r="N83" s="33"/>
      <c r="O83" s="33"/>
      <c r="P83" s="33"/>
      <c r="Q83" s="65"/>
      <c r="R83" s="65"/>
    </row>
    <row r="84" spans="1:18" ht="7.5" hidden="1" customHeight="1" x14ac:dyDescent="0.2">
      <c r="B84" s="261"/>
      <c r="C84" s="261"/>
      <c r="D84" s="261"/>
      <c r="E84" s="261"/>
      <c r="F84" s="261"/>
      <c r="G84" s="261"/>
      <c r="H84" s="261"/>
      <c r="I84" s="261"/>
      <c r="J84" s="260"/>
      <c r="K84" s="260"/>
      <c r="M84" s="33"/>
      <c r="N84" s="33"/>
      <c r="O84" s="33"/>
      <c r="P84" s="33"/>
      <c r="Q84" s="65"/>
      <c r="R84" s="65"/>
    </row>
    <row r="85" spans="1:18" hidden="1" x14ac:dyDescent="0.2">
      <c r="B85" s="63"/>
      <c r="C85" s="63"/>
      <c r="M85" s="33"/>
      <c r="N85" s="33"/>
      <c r="O85" s="33"/>
      <c r="P85" s="33"/>
      <c r="Q85" s="65"/>
      <c r="R85" s="65"/>
    </row>
    <row r="86" spans="1:18" hidden="1" x14ac:dyDescent="0.2">
      <c r="B86" s="64"/>
      <c r="C86" s="64"/>
      <c r="M86" s="33"/>
      <c r="N86" s="33"/>
      <c r="O86" s="33"/>
      <c r="P86" s="33"/>
      <c r="Q86" s="65"/>
      <c r="R86" s="65"/>
    </row>
    <row r="87" spans="1:18" hidden="1" x14ac:dyDescent="0.2">
      <c r="B87" s="64"/>
      <c r="C87" s="64"/>
      <c r="M87" s="33"/>
      <c r="N87" s="33"/>
      <c r="O87" s="33"/>
      <c r="P87" s="33"/>
      <c r="Q87" s="65"/>
      <c r="R87" s="65"/>
    </row>
    <row r="88" spans="1:18" hidden="1" x14ac:dyDescent="0.2">
      <c r="B88" s="64"/>
      <c r="C88" s="64"/>
      <c r="M88" s="33"/>
      <c r="N88" s="33"/>
      <c r="O88" s="33"/>
      <c r="P88" s="33"/>
      <c r="Q88" s="65"/>
      <c r="R88" s="65"/>
    </row>
    <row r="89" spans="1:18" hidden="1" x14ac:dyDescent="0.2">
      <c r="B89" s="64"/>
      <c r="C89" s="64"/>
      <c r="M89" s="33"/>
      <c r="N89" s="33"/>
      <c r="O89" s="33"/>
      <c r="P89" s="33"/>
      <c r="Q89" s="65"/>
      <c r="R89" s="65"/>
    </row>
    <row r="90" spans="1:18" s="65" customFormat="1" hidden="1" x14ac:dyDescent="0.2">
      <c r="A90" s="22"/>
      <c r="B90" s="64"/>
      <c r="C90" s="64"/>
      <c r="M90" s="33"/>
      <c r="N90" s="33"/>
      <c r="O90" s="33"/>
      <c r="P90" s="33"/>
    </row>
    <row r="91" spans="1:18" hidden="1" x14ac:dyDescent="0.2">
      <c r="M91" s="33"/>
      <c r="N91" s="33"/>
      <c r="O91" s="33"/>
      <c r="P91" s="33"/>
      <c r="Q91" s="65"/>
      <c r="R91" s="65"/>
    </row>
    <row r="92" spans="1:18" x14ac:dyDescent="0.2">
      <c r="B92" s="66" t="s">
        <v>84</v>
      </c>
      <c r="C92" s="66"/>
      <c r="M92" s="33"/>
      <c r="N92" s="33"/>
      <c r="O92" s="33"/>
      <c r="P92" s="33"/>
      <c r="Q92" s="65"/>
      <c r="R92" s="65"/>
    </row>
    <row r="93" spans="1:18" x14ac:dyDescent="0.2">
      <c r="M93" s="33"/>
      <c r="N93" s="33"/>
      <c r="O93" s="33"/>
      <c r="P93" s="33"/>
      <c r="Q93" s="65"/>
      <c r="R93" s="65"/>
    </row>
    <row r="94" spans="1:18" x14ac:dyDescent="0.2">
      <c r="M94" s="33"/>
      <c r="N94" s="33"/>
      <c r="O94" s="33"/>
      <c r="P94" s="33"/>
      <c r="Q94" s="65"/>
      <c r="R94" s="65"/>
    </row>
    <row r="95" spans="1:18" x14ac:dyDescent="0.2">
      <c r="B95" s="259" t="s">
        <v>85</v>
      </c>
      <c r="C95" s="259"/>
      <c r="D95" s="259"/>
      <c r="F95" s="259" t="s">
        <v>86</v>
      </c>
      <c r="G95" s="259"/>
      <c r="H95" s="259"/>
      <c r="I95" s="259"/>
      <c r="J95" s="259"/>
      <c r="K95" s="259"/>
      <c r="M95" s="33"/>
      <c r="N95" s="33"/>
      <c r="O95" s="33"/>
      <c r="P95" s="33"/>
      <c r="Q95" s="65"/>
      <c r="R95" s="65"/>
    </row>
    <row r="96" spans="1:18" x14ac:dyDescent="0.2">
      <c r="M96" s="33"/>
      <c r="N96" s="33"/>
      <c r="O96" s="33"/>
      <c r="P96" s="33"/>
      <c r="Q96" s="65"/>
      <c r="R96" s="65"/>
    </row>
    <row r="98" spans="2:28" x14ac:dyDescent="0.2">
      <c r="B98" s="67"/>
      <c r="C98" s="67"/>
      <c r="D98" s="67"/>
      <c r="E98" s="67"/>
      <c r="F98" s="67"/>
      <c r="G98" s="67"/>
      <c r="H98" s="67"/>
      <c r="I98" s="67"/>
      <c r="J98" s="33"/>
      <c r="K98" s="33"/>
      <c r="L98" s="33"/>
      <c r="M98" s="33"/>
      <c r="N98" s="33"/>
      <c r="O98" s="33"/>
      <c r="P98" s="33"/>
      <c r="Q98" s="33"/>
      <c r="R98" s="33"/>
      <c r="S98" s="33"/>
      <c r="T98" s="31"/>
      <c r="U98" s="31"/>
      <c r="V98" s="31"/>
      <c r="W98" s="31"/>
      <c r="X98" s="31"/>
      <c r="Y98" s="31"/>
      <c r="Z98" s="31"/>
      <c r="AA98" s="31"/>
      <c r="AB98" s="31"/>
    </row>
    <row r="99" spans="2:28" x14ac:dyDescent="0.2">
      <c r="B99" s="67"/>
      <c r="C99" s="67"/>
      <c r="D99" s="67"/>
      <c r="E99" s="67"/>
      <c r="F99" s="67"/>
      <c r="G99" s="67"/>
      <c r="H99" s="67"/>
      <c r="I99" s="67"/>
      <c r="J99" s="33"/>
      <c r="K99" s="33"/>
      <c r="L99" s="33"/>
      <c r="M99" s="33"/>
      <c r="N99" s="33"/>
      <c r="O99" s="33"/>
      <c r="P99" s="33"/>
      <c r="Q99" s="33"/>
      <c r="R99" s="33"/>
      <c r="S99" s="33"/>
      <c r="T99" s="31"/>
      <c r="U99" s="31"/>
      <c r="V99" s="31"/>
      <c r="W99" s="31"/>
      <c r="X99" s="31"/>
      <c r="Y99" s="31"/>
      <c r="Z99" s="31"/>
      <c r="AA99" s="31"/>
      <c r="AB99" s="31"/>
    </row>
    <row r="100" spans="2:28" x14ac:dyDescent="0.2">
      <c r="B100" s="67"/>
      <c r="C100" s="67"/>
      <c r="D100" s="67"/>
      <c r="E100" s="67"/>
      <c r="F100" s="67"/>
      <c r="G100" s="67"/>
      <c r="H100" s="67"/>
      <c r="I100" s="67"/>
    </row>
    <row r="101" spans="2:28" x14ac:dyDescent="0.2">
      <c r="B101" s="67"/>
      <c r="C101" s="67"/>
      <c r="D101" s="67"/>
      <c r="E101" s="67"/>
      <c r="F101" s="67"/>
      <c r="G101" s="67"/>
      <c r="H101" s="67"/>
      <c r="I101" s="67"/>
    </row>
    <row r="102" spans="2:28" x14ac:dyDescent="0.2">
      <c r="B102" s="262" t="s">
        <v>144</v>
      </c>
      <c r="C102" s="262"/>
      <c r="D102" s="262"/>
      <c r="E102" s="262"/>
      <c r="F102" s="262"/>
      <c r="G102" s="262"/>
      <c r="H102" s="262"/>
      <c r="I102" s="262"/>
      <c r="J102" s="68"/>
    </row>
    <row r="103" spans="2:28" x14ac:dyDescent="0.2">
      <c r="B103" s="263" t="s">
        <v>145</v>
      </c>
      <c r="C103" s="263"/>
      <c r="D103" s="263"/>
      <c r="E103" s="263"/>
      <c r="F103" s="263"/>
      <c r="G103" s="263"/>
      <c r="H103" s="263"/>
      <c r="I103" s="263"/>
      <c r="J103" s="68"/>
    </row>
    <row r="104" spans="2:28" x14ac:dyDescent="0.2">
      <c r="B104" s="262" t="s">
        <v>146</v>
      </c>
      <c r="C104" s="262"/>
      <c r="D104" s="262"/>
      <c r="E104" s="262"/>
      <c r="F104" s="262"/>
      <c r="G104" s="262"/>
      <c r="H104" s="262"/>
      <c r="I104" s="262"/>
      <c r="J104" s="68"/>
    </row>
    <row r="105" spans="2:28" x14ac:dyDescent="0.2">
      <c r="B105" s="262" t="s">
        <v>147</v>
      </c>
      <c r="C105" s="262"/>
      <c r="D105" s="262"/>
      <c r="E105" s="262"/>
      <c r="F105" s="262"/>
      <c r="G105" s="262"/>
      <c r="H105" s="262"/>
      <c r="I105" s="262"/>
      <c r="J105" s="68"/>
    </row>
    <row r="106" spans="2:28" x14ac:dyDescent="0.2">
      <c r="B106" s="262" t="s">
        <v>148</v>
      </c>
      <c r="C106" s="262"/>
      <c r="D106" s="262"/>
      <c r="E106" s="262"/>
      <c r="F106" s="262"/>
      <c r="G106" s="262"/>
      <c r="H106" s="262"/>
      <c r="I106" s="262"/>
      <c r="J106" s="68"/>
    </row>
    <row r="107" spans="2:28" x14ac:dyDescent="0.2">
      <c r="B107" s="68"/>
      <c r="C107" s="68"/>
      <c r="D107" s="68"/>
      <c r="E107" s="68"/>
      <c r="F107" s="68"/>
      <c r="G107" s="68"/>
      <c r="H107" s="68"/>
      <c r="I107" s="68"/>
      <c r="J107" s="68"/>
    </row>
    <row r="108" spans="2:28" x14ac:dyDescent="0.2">
      <c r="B108" s="67"/>
      <c r="C108" s="67"/>
      <c r="D108" s="67"/>
      <c r="E108" s="67"/>
      <c r="F108" s="67"/>
      <c r="G108" s="67"/>
      <c r="H108" s="67"/>
      <c r="I108" s="67"/>
    </row>
    <row r="109" spans="2:28" x14ac:dyDescent="0.2">
      <c r="B109" s="67"/>
      <c r="C109" s="67"/>
      <c r="D109" s="67"/>
      <c r="E109" s="67"/>
      <c r="F109" s="67"/>
      <c r="G109" s="67"/>
      <c r="H109" s="67"/>
      <c r="I109" s="67"/>
    </row>
    <row r="110" spans="2:28" x14ac:dyDescent="0.2">
      <c r="B110" s="67"/>
      <c r="C110" s="67"/>
      <c r="D110" s="67"/>
      <c r="E110" s="67"/>
      <c r="F110" s="67"/>
      <c r="G110" s="67"/>
      <c r="H110" s="67"/>
      <c r="I110" s="67"/>
    </row>
    <row r="111" spans="2:28" x14ac:dyDescent="0.2">
      <c r="B111" s="67"/>
      <c r="C111" s="67"/>
      <c r="D111" s="67"/>
      <c r="E111" s="67"/>
      <c r="F111" s="67"/>
      <c r="G111" s="67"/>
      <c r="H111" s="67"/>
      <c r="I111" s="67"/>
    </row>
  </sheetData>
  <sheetProtection password="C931" sheet="1" selectLockedCells="1"/>
  <mergeCells count="71">
    <mergeCell ref="B36:C36"/>
    <mergeCell ref="C10:D10"/>
    <mergeCell ref="C12:D12"/>
    <mergeCell ref="B27:C27"/>
    <mergeCell ref="B28:C28"/>
    <mergeCell ref="B30:C30"/>
    <mergeCell ref="B31:C31"/>
    <mergeCell ref="B32:C32"/>
    <mergeCell ref="B33:C33"/>
    <mergeCell ref="B34:C34"/>
    <mergeCell ref="B35:C35"/>
    <mergeCell ref="B10:B12"/>
    <mergeCell ref="B29:C29"/>
    <mergeCell ref="C9:D9"/>
    <mergeCell ref="L1:L3"/>
    <mergeCell ref="I2:I3"/>
    <mergeCell ref="C6:D6"/>
    <mergeCell ref="C7:D7"/>
    <mergeCell ref="C8:D8"/>
    <mergeCell ref="B48:C48"/>
    <mergeCell ref="B37:C37"/>
    <mergeCell ref="B38:C38"/>
    <mergeCell ref="B39:C39"/>
    <mergeCell ref="B40:C40"/>
    <mergeCell ref="B41:C41"/>
    <mergeCell ref="B42:C42"/>
    <mergeCell ref="B43:C43"/>
    <mergeCell ref="B44:C44"/>
    <mergeCell ref="B45:C45"/>
    <mergeCell ref="B46:C46"/>
    <mergeCell ref="B47:C47"/>
    <mergeCell ref="B60:C60"/>
    <mergeCell ref="B49:C49"/>
    <mergeCell ref="B50:C50"/>
    <mergeCell ref="B51:C51"/>
    <mergeCell ref="B52:C52"/>
    <mergeCell ref="B53:C53"/>
    <mergeCell ref="B54:C54"/>
    <mergeCell ref="B55:C55"/>
    <mergeCell ref="B56:C56"/>
    <mergeCell ref="B57:C57"/>
    <mergeCell ref="B58:C58"/>
    <mergeCell ref="B59:C59"/>
    <mergeCell ref="B61:C61"/>
    <mergeCell ref="B62:C62"/>
    <mergeCell ref="B63:C63"/>
    <mergeCell ref="B64:C64"/>
    <mergeCell ref="B65:C65"/>
    <mergeCell ref="B66:C66"/>
    <mergeCell ref="B73:C73"/>
    <mergeCell ref="B106:I106"/>
    <mergeCell ref="B103:I103"/>
    <mergeCell ref="B104:I104"/>
    <mergeCell ref="B105:I105"/>
    <mergeCell ref="B102:I102"/>
    <mergeCell ref="B67:C67"/>
    <mergeCell ref="B68:C68"/>
    <mergeCell ref="B69:C69"/>
    <mergeCell ref="B70:C70"/>
    <mergeCell ref="B71:C71"/>
    <mergeCell ref="B72:C72"/>
    <mergeCell ref="J83:K83"/>
    <mergeCell ref="J84:K84"/>
    <mergeCell ref="B95:D95"/>
    <mergeCell ref="F95:K95"/>
    <mergeCell ref="B77:I84"/>
    <mergeCell ref="J78:K78"/>
    <mergeCell ref="J79:K79"/>
    <mergeCell ref="J80:K80"/>
    <mergeCell ref="J81:K81"/>
    <mergeCell ref="J82:K82"/>
  </mergeCells>
  <hyperlinks>
    <hyperlink ref="L4" location="Input!A1" display="Return to Input" xr:uid="{00000000-0004-0000-0D00-000000000000}"/>
  </hyperlinks>
  <printOptions horizontalCentered="1" verticalCentered="1"/>
  <pageMargins left="0.39370078740157483" right="0.39370078740157483" top="0" bottom="0" header="0.31496062992125984" footer="0.31496062992125984"/>
  <pageSetup paperSize="14" scale="56" orientation="portrait" verticalDpi="4294967293"/>
  <rowBreaks count="1" manualBreakCount="1">
    <brk id="74" min="1" max="8"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pageSetUpPr fitToPage="1"/>
  </sheetPr>
  <dimension ref="A1:AB105"/>
  <sheetViews>
    <sheetView topLeftCell="B9" zoomScale="115" zoomScaleNormal="115" zoomScalePageLayoutView="115" workbookViewId="0">
      <selection activeCell="D45" sqref="D45"/>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6.14062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f>INPUT!D47</f>
        <v>17314000</v>
      </c>
      <c r="D9" s="281"/>
      <c r="L9" s="31"/>
      <c r="M9" s="31"/>
      <c r="N9" s="31"/>
    </row>
    <row r="10" spans="2:28" x14ac:dyDescent="0.2">
      <c r="B10" s="278" t="s">
        <v>62</v>
      </c>
      <c r="C10" s="270" t="s">
        <v>151</v>
      </c>
      <c r="D10" s="271"/>
      <c r="L10" s="31"/>
      <c r="M10" s="31"/>
      <c r="N10" s="31"/>
    </row>
    <row r="11" spans="2:28" x14ac:dyDescent="0.2">
      <c r="B11" s="278"/>
      <c r="C11" s="138" t="s">
        <v>263</v>
      </c>
      <c r="D11" s="139"/>
      <c r="L11" s="31"/>
      <c r="M11" s="31"/>
      <c r="N11" s="31"/>
    </row>
    <row r="12" spans="2:28" ht="15.75" thickBot="1" x14ac:dyDescent="0.25">
      <c r="B12" s="279"/>
      <c r="C12" s="272" t="s">
        <v>156</v>
      </c>
      <c r="D12" s="273"/>
      <c r="L12" s="33"/>
      <c r="M12" s="33"/>
      <c r="N12" s="33"/>
    </row>
    <row r="13" spans="2:28" x14ac:dyDescent="0.2">
      <c r="E13" s="33"/>
      <c r="F13" s="33"/>
      <c r="G13" s="33"/>
      <c r="H13" s="33"/>
      <c r="I13" s="33"/>
      <c r="J13" s="33"/>
      <c r="K13" s="33"/>
      <c r="L13" s="86" t="s">
        <v>150</v>
      </c>
      <c r="M13" s="87">
        <v>0.02</v>
      </c>
      <c r="N13" s="33"/>
    </row>
    <row r="14" spans="2:28" x14ac:dyDescent="0.2">
      <c r="B14" s="34" t="s">
        <v>64</v>
      </c>
      <c r="C14" s="34"/>
      <c r="E14" s="33"/>
      <c r="F14" s="33"/>
      <c r="G14" s="33"/>
      <c r="H14" s="33"/>
      <c r="I14" s="33"/>
      <c r="J14" s="33"/>
      <c r="K14" s="33"/>
      <c r="L14" s="33"/>
      <c r="M14" s="87">
        <v>0</v>
      </c>
      <c r="N14" s="33"/>
    </row>
    <row r="15" spans="2:28" x14ac:dyDescent="0.2">
      <c r="B15" s="35" t="s">
        <v>264</v>
      </c>
      <c r="C15" s="36"/>
      <c r="D15" s="42">
        <f>C9</f>
        <v>17314000</v>
      </c>
      <c r="E15" s="38" t="str">
        <f>C10</f>
        <v>10% Spot DP</v>
      </c>
      <c r="F15" s="39" t="e">
        <f>D15-E15</f>
        <v>#VALUE!</v>
      </c>
      <c r="G15" s="39" t="e">
        <f>E15-F15</f>
        <v>#VALUE!</v>
      </c>
      <c r="H15" s="39" t="e">
        <f>F15-G15</f>
        <v>#VALUE!</v>
      </c>
      <c r="I15" s="33"/>
      <c r="J15" s="33"/>
      <c r="K15" s="95"/>
      <c r="L15" s="33"/>
      <c r="M15" s="33"/>
      <c r="N15" s="33"/>
      <c r="O15" s="33"/>
      <c r="P15" s="33"/>
      <c r="Q15" s="33"/>
      <c r="R15" s="33"/>
      <c r="S15" s="33"/>
      <c r="T15" s="31"/>
      <c r="U15" s="31"/>
      <c r="V15" s="31"/>
      <c r="W15" s="31"/>
      <c r="X15" s="31"/>
      <c r="Y15" s="31"/>
      <c r="Z15" s="31"/>
      <c r="AA15" s="31"/>
      <c r="AB15" s="31"/>
    </row>
    <row r="16" spans="2:28" hidden="1" x14ac:dyDescent="0.2">
      <c r="B16" s="115"/>
      <c r="C16" s="69"/>
      <c r="D16" s="42"/>
      <c r="E16" s="38"/>
      <c r="F16" s="39"/>
      <c r="G16" s="39"/>
      <c r="H16" s="39"/>
      <c r="I16" s="33"/>
      <c r="J16" s="33"/>
      <c r="K16" s="95"/>
      <c r="L16" s="33"/>
      <c r="M16" s="33"/>
      <c r="N16" s="33"/>
      <c r="O16" s="33"/>
      <c r="P16" s="33"/>
      <c r="Q16" s="33"/>
      <c r="R16" s="33"/>
      <c r="S16" s="33"/>
      <c r="T16" s="31"/>
      <c r="U16" s="31"/>
      <c r="V16" s="31"/>
      <c r="W16" s="31"/>
      <c r="X16" s="31"/>
      <c r="Y16" s="31"/>
      <c r="Z16" s="31"/>
      <c r="AA16" s="31"/>
      <c r="AB16" s="31"/>
    </row>
    <row r="17" spans="2:28" hidden="1" x14ac:dyDescent="0.2">
      <c r="B17" s="115"/>
      <c r="C17" s="69"/>
      <c r="D17" s="42"/>
      <c r="E17" s="38"/>
      <c r="F17" s="39"/>
      <c r="G17" s="39"/>
      <c r="H17" s="39"/>
      <c r="I17" s="33"/>
      <c r="J17" s="33"/>
      <c r="K17" s="95"/>
      <c r="L17" s="116"/>
      <c r="M17" s="117"/>
      <c r="N17" s="33"/>
      <c r="O17" s="33"/>
      <c r="P17" s="33"/>
      <c r="Q17" s="33"/>
      <c r="R17" s="33"/>
      <c r="S17" s="33"/>
      <c r="T17" s="33"/>
      <c r="U17" s="33"/>
      <c r="V17" s="31"/>
      <c r="W17" s="31"/>
      <c r="X17" s="31"/>
      <c r="Y17" s="31"/>
      <c r="Z17" s="31"/>
      <c r="AA17" s="31"/>
      <c r="AB17" s="31"/>
    </row>
    <row r="18" spans="2:28" hidden="1" x14ac:dyDescent="0.2">
      <c r="B18" s="115"/>
      <c r="C18" s="69"/>
      <c r="D18" s="42"/>
      <c r="E18" s="38"/>
      <c r="F18" s="39"/>
      <c r="G18" s="39"/>
      <c r="H18" s="39"/>
      <c r="I18" s="33"/>
      <c r="J18" s="33"/>
      <c r="K18" s="95"/>
      <c r="L18" s="33"/>
      <c r="M18" s="117"/>
      <c r="N18" s="33"/>
      <c r="O18" s="33"/>
      <c r="P18" s="33"/>
      <c r="Q18" s="33"/>
      <c r="R18" s="33"/>
      <c r="S18" s="33"/>
      <c r="T18" s="33"/>
      <c r="U18" s="33"/>
      <c r="V18" s="31"/>
      <c r="W18" s="31"/>
      <c r="X18" s="31"/>
      <c r="Y18" s="31"/>
      <c r="Z18" s="31"/>
      <c r="AA18" s="31"/>
      <c r="AB18" s="31"/>
    </row>
    <row r="19" spans="2:28" x14ac:dyDescent="0.2">
      <c r="B19" s="115" t="s">
        <v>67</v>
      </c>
      <c r="C19" s="69">
        <v>0.01</v>
      </c>
      <c r="D19" s="42">
        <f>IF(C19&gt;1%,"INVALID",(D15-D17-D18-D16)*C19)</f>
        <v>173140</v>
      </c>
      <c r="E19" s="38"/>
      <c r="F19" s="39"/>
      <c r="G19" s="39"/>
      <c r="H19" s="39"/>
      <c r="I19" s="33"/>
      <c r="J19" s="33"/>
      <c r="K19" s="95"/>
      <c r="L19" s="33"/>
      <c r="M19" s="33"/>
      <c r="N19" s="33"/>
      <c r="O19" s="33"/>
      <c r="P19" s="33"/>
      <c r="Q19" s="33"/>
      <c r="R19" s="33"/>
      <c r="S19" s="33"/>
      <c r="T19" s="33"/>
      <c r="U19" s="33"/>
      <c r="V19" s="31"/>
      <c r="W19" s="31"/>
      <c r="X19" s="31"/>
      <c r="Y19" s="31"/>
      <c r="Z19" s="31"/>
      <c r="AA19" s="31"/>
      <c r="AB19" s="31"/>
    </row>
    <row r="20" spans="2:28" x14ac:dyDescent="0.2">
      <c r="B20" s="115" t="s">
        <v>269</v>
      </c>
      <c r="C20" s="69">
        <v>0.01</v>
      </c>
      <c r="D20" s="229">
        <f>IF(C20&gt;1%,"maximum of 1%",((((D15-SUM(D19))*C20))))</f>
        <v>171408.6</v>
      </c>
      <c r="E20" s="38"/>
      <c r="F20" s="39"/>
      <c r="G20" s="39"/>
      <c r="H20" s="39"/>
      <c r="I20" s="33"/>
      <c r="J20" s="33"/>
      <c r="K20" s="95"/>
      <c r="L20" s="33"/>
      <c r="M20" s="33"/>
      <c r="N20" s="33"/>
      <c r="O20" s="33"/>
      <c r="P20" s="33"/>
      <c r="Q20" s="33"/>
      <c r="R20" s="33"/>
      <c r="S20" s="33"/>
      <c r="T20" s="33"/>
      <c r="U20" s="33"/>
      <c r="V20" s="31"/>
      <c r="W20" s="31"/>
      <c r="X20" s="31"/>
      <c r="Y20" s="31"/>
      <c r="Z20" s="31"/>
      <c r="AA20" s="31"/>
      <c r="AB20" s="31"/>
    </row>
    <row r="21" spans="2:28" x14ac:dyDescent="0.2">
      <c r="B21" s="115">
        <f>IF(INPUT!$D$42="Repeat Buyer",Classic_Mem_Inst1!$L$13,Classic_Mem_Inst1!$L$14)</f>
        <v>0</v>
      </c>
      <c r="C21" s="97">
        <f>IF(B21=Classic_Mem_Inst1!$L$13,Classic_Mem_Inst1!$M$13,Classic_Mem_Inst1!$M$14)</f>
        <v>0</v>
      </c>
      <c r="D21" s="42">
        <f>(D15-D19-D18-D20-D16)*C21</f>
        <v>0</v>
      </c>
      <c r="E21" s="38"/>
      <c r="F21" s="39"/>
      <c r="G21" s="39"/>
      <c r="H21" s="39"/>
      <c r="I21" s="33"/>
      <c r="J21" s="33"/>
      <c r="K21" s="95"/>
      <c r="L21" s="33"/>
      <c r="M21" s="33"/>
      <c r="N21" s="33"/>
      <c r="O21" s="33"/>
      <c r="P21" s="31"/>
      <c r="Q21" s="33"/>
      <c r="R21" s="33"/>
      <c r="S21" s="33"/>
      <c r="T21" s="33"/>
      <c r="U21" s="33"/>
      <c r="V21" s="31"/>
      <c r="W21" s="31"/>
      <c r="X21" s="31"/>
      <c r="Y21" s="31"/>
      <c r="Z21" s="31"/>
      <c r="AA21" s="31"/>
      <c r="AB21" s="31"/>
    </row>
    <row r="22" spans="2:28" x14ac:dyDescent="0.2">
      <c r="B22" s="40" t="s">
        <v>68</v>
      </c>
      <c r="C22" s="97">
        <v>0.05</v>
      </c>
      <c r="D22" s="42">
        <f>((D15-D19-D18-D20-D21-D16)/1.12)*C22</f>
        <v>757564.79464285704</v>
      </c>
      <c r="E22" s="44"/>
      <c r="F22" s="39"/>
      <c r="G22" s="39"/>
      <c r="H22" s="39"/>
      <c r="I22" s="33"/>
      <c r="J22" s="33"/>
      <c r="K22" s="95"/>
      <c r="L22" s="33"/>
      <c r="M22" s="33"/>
      <c r="N22" s="33"/>
      <c r="O22" s="33"/>
      <c r="P22" s="33"/>
      <c r="Q22" s="33"/>
      <c r="R22" s="33"/>
      <c r="S22" s="33"/>
      <c r="T22" s="31"/>
      <c r="U22" s="31"/>
      <c r="V22" s="31"/>
      <c r="W22" s="31"/>
      <c r="X22" s="31"/>
      <c r="Y22" s="31"/>
      <c r="Z22" s="31"/>
      <c r="AA22" s="31"/>
      <c r="AB22" s="31"/>
    </row>
    <row r="23" spans="2:28" hidden="1" x14ac:dyDescent="0.2">
      <c r="B23" s="40"/>
      <c r="C23" s="97"/>
      <c r="D23" s="42"/>
      <c r="E23" s="44"/>
      <c r="F23" s="39"/>
      <c r="G23" s="39"/>
      <c r="H23" s="39"/>
      <c r="I23" s="33"/>
      <c r="J23" s="33"/>
      <c r="K23" s="95"/>
      <c r="L23" s="33"/>
      <c r="M23" s="33"/>
      <c r="N23" s="33"/>
      <c r="O23" s="33"/>
      <c r="P23" s="33"/>
      <c r="Q23" s="33"/>
      <c r="R23" s="33"/>
      <c r="S23" s="33"/>
      <c r="T23" s="31"/>
      <c r="U23" s="31"/>
      <c r="V23" s="31"/>
      <c r="W23" s="31"/>
      <c r="X23" s="31"/>
      <c r="Y23" s="31"/>
      <c r="Z23" s="31"/>
      <c r="AA23" s="31"/>
      <c r="AB23" s="31"/>
    </row>
    <row r="24" spans="2:28" ht="15.75" thickBot="1" x14ac:dyDescent="0.25">
      <c r="B24" s="45" t="s">
        <v>265</v>
      </c>
      <c r="C24" s="46"/>
      <c r="D24" s="47">
        <f>((D15-SUM(D19,D20,D21))+D22)</f>
        <v>17727016.194642857</v>
      </c>
      <c r="E24" s="38"/>
      <c r="F24" s="39"/>
      <c r="G24" s="39"/>
      <c r="H24" s="39"/>
      <c r="I24" s="33"/>
      <c r="J24" s="33"/>
      <c r="K24" s="95"/>
      <c r="L24" s="33"/>
      <c r="M24" s="33"/>
      <c r="N24" s="33"/>
      <c r="O24" s="33"/>
      <c r="P24" s="33"/>
      <c r="Q24" s="33"/>
      <c r="R24" s="33"/>
      <c r="S24" s="33"/>
      <c r="T24" s="31"/>
      <c r="U24" s="31"/>
      <c r="V24" s="31"/>
      <c r="W24" s="31"/>
      <c r="X24" s="31"/>
      <c r="Y24" s="31"/>
      <c r="Z24" s="31"/>
      <c r="AA24" s="31"/>
      <c r="AB24" s="31"/>
    </row>
    <row r="25" spans="2:28" ht="16.5" thickTop="1" thickBot="1" x14ac:dyDescent="0.25"/>
    <row r="26" spans="2:28" ht="15.75" thickBot="1" x14ac:dyDescent="0.25">
      <c r="B26" s="274" t="s">
        <v>70</v>
      </c>
      <c r="C26" s="275"/>
      <c r="D26" s="78" t="s">
        <v>71</v>
      </c>
      <c r="E26" s="78" t="s">
        <v>72</v>
      </c>
      <c r="F26" s="78" t="s">
        <v>73</v>
      </c>
      <c r="G26" s="78" t="s">
        <v>74</v>
      </c>
      <c r="H26" s="78" t="s">
        <v>75</v>
      </c>
      <c r="I26" s="79" t="s">
        <v>76</v>
      </c>
      <c r="J26" s="33"/>
      <c r="K26" s="33"/>
      <c r="L26" s="33"/>
      <c r="M26" s="33"/>
      <c r="N26" s="33"/>
    </row>
    <row r="27" spans="2:28" x14ac:dyDescent="0.2">
      <c r="B27" s="304">
        <v>0</v>
      </c>
      <c r="C27" s="305"/>
      <c r="D27" s="182">
        <v>44917</v>
      </c>
      <c r="E27" s="193" t="s">
        <v>77</v>
      </c>
      <c r="F27" s="194">
        <v>50000</v>
      </c>
      <c r="G27" s="194"/>
      <c r="H27" s="194">
        <f>SUM(F27:G27)</f>
        <v>50000</v>
      </c>
      <c r="I27" s="186">
        <f>D24-H27</f>
        <v>17677016.194642857</v>
      </c>
      <c r="J27" s="53" t="s">
        <v>78</v>
      </c>
      <c r="K27" s="33"/>
      <c r="L27" s="38">
        <v>56000</v>
      </c>
      <c r="M27" s="39">
        <f>L27-F27</f>
        <v>6000</v>
      </c>
      <c r="N27" s="33"/>
    </row>
    <row r="28" spans="2:28" hidden="1" x14ac:dyDescent="0.2">
      <c r="B28" s="264"/>
      <c r="C28" s="265"/>
      <c r="D28" s="70">
        <v>44948</v>
      </c>
      <c r="E28" s="74" t="s">
        <v>79</v>
      </c>
      <c r="F28" s="75"/>
      <c r="G28" s="75"/>
      <c r="H28" s="75">
        <v>0</v>
      </c>
      <c r="I28" s="187">
        <f>I27-H28</f>
        <v>17677016.194642857</v>
      </c>
      <c r="J28" s="53"/>
      <c r="K28" s="33"/>
      <c r="L28" s="38"/>
      <c r="M28" s="39"/>
      <c r="N28" s="33"/>
    </row>
    <row r="29" spans="2:28" x14ac:dyDescent="0.2">
      <c r="B29" s="264">
        <f>B28+1</f>
        <v>1</v>
      </c>
      <c r="C29" s="265"/>
      <c r="D29" s="70">
        <f>EDATE(D27,1)</f>
        <v>44948</v>
      </c>
      <c r="E29" s="178" t="s">
        <v>90</v>
      </c>
      <c r="F29" s="71">
        <f>ROUND((((D24-D22)*10%)-F27),2)</f>
        <v>1646945.14</v>
      </c>
      <c r="G29" s="71">
        <f>ROUND(((D22*10%)-G27),2)</f>
        <v>75756.479999999996</v>
      </c>
      <c r="H29" s="71">
        <f>SUM(F29:G29)</f>
        <v>1722701.6199999999</v>
      </c>
      <c r="I29" s="187">
        <f>I28-H29</f>
        <v>15954314.574642858</v>
      </c>
      <c r="J29" s="53"/>
      <c r="K29" s="33"/>
      <c r="L29" s="38"/>
      <c r="M29" s="39"/>
      <c r="N29" s="33"/>
    </row>
    <row r="30" spans="2:28" x14ac:dyDescent="0.2">
      <c r="B30" s="264">
        <v>2</v>
      </c>
      <c r="C30" s="265"/>
      <c r="D30" s="70">
        <f>EDATE(D29,1)</f>
        <v>44979</v>
      </c>
      <c r="E30" s="178" t="s">
        <v>91</v>
      </c>
      <c r="F30" s="71">
        <f>ROUND((((D24-D22)*40%)/36),2)</f>
        <v>188549.46</v>
      </c>
      <c r="G30" s="71">
        <f>ROUND(((D22*40%)/36),2)</f>
        <v>8417.39</v>
      </c>
      <c r="H30" s="71">
        <f>SUM(F30:G30)</f>
        <v>196966.84999999998</v>
      </c>
      <c r="I30" s="188">
        <f t="shared" ref="I30:I66" si="0">I29-H30</f>
        <v>15757347.724642858</v>
      </c>
      <c r="J30" s="53"/>
      <c r="K30" s="33"/>
      <c r="L30" s="38"/>
      <c r="M30" s="39"/>
      <c r="N30" s="33"/>
    </row>
    <row r="31" spans="2:28" x14ac:dyDescent="0.2">
      <c r="B31" s="264">
        <v>3</v>
      </c>
      <c r="C31" s="265"/>
      <c r="D31" s="70">
        <f>EDATE(D30,1)</f>
        <v>45007</v>
      </c>
      <c r="E31" s="203" t="s">
        <v>92</v>
      </c>
      <c r="F31" s="71">
        <f>F30</f>
        <v>188549.46</v>
      </c>
      <c r="G31" s="71">
        <f>G30</f>
        <v>8417.39</v>
      </c>
      <c r="H31" s="71">
        <f t="shared" ref="H31:H66" si="1">SUM(F31:G31)</f>
        <v>196966.84999999998</v>
      </c>
      <c r="I31" s="188">
        <f t="shared" si="0"/>
        <v>15560380.874642858</v>
      </c>
      <c r="J31" s="53"/>
      <c r="K31" s="33"/>
      <c r="L31" s="38"/>
      <c r="M31" s="39"/>
      <c r="N31" s="33"/>
    </row>
    <row r="32" spans="2:28" x14ac:dyDescent="0.2">
      <c r="B32" s="264">
        <v>4</v>
      </c>
      <c r="C32" s="265"/>
      <c r="D32" s="70">
        <f t="shared" ref="D32:D66" si="2">EDATE(D31,1)</f>
        <v>45038</v>
      </c>
      <c r="E32" s="203" t="s">
        <v>93</v>
      </c>
      <c r="F32" s="71">
        <f t="shared" ref="F32:G65" si="3">F31</f>
        <v>188549.46</v>
      </c>
      <c r="G32" s="71">
        <f t="shared" si="3"/>
        <v>8417.39</v>
      </c>
      <c r="H32" s="71">
        <f t="shared" si="1"/>
        <v>196966.84999999998</v>
      </c>
      <c r="I32" s="188">
        <f t="shared" si="0"/>
        <v>15363414.024642859</v>
      </c>
      <c r="J32" s="53"/>
      <c r="K32" s="33"/>
      <c r="L32" s="38"/>
      <c r="M32" s="39"/>
      <c r="N32" s="33"/>
    </row>
    <row r="33" spans="2:14" x14ac:dyDescent="0.2">
      <c r="B33" s="264">
        <v>5</v>
      </c>
      <c r="C33" s="265"/>
      <c r="D33" s="70">
        <f t="shared" si="2"/>
        <v>45068</v>
      </c>
      <c r="E33" s="203" t="s">
        <v>94</v>
      </c>
      <c r="F33" s="71">
        <f t="shared" si="3"/>
        <v>188549.46</v>
      </c>
      <c r="G33" s="71">
        <f t="shared" si="3"/>
        <v>8417.39</v>
      </c>
      <c r="H33" s="71">
        <f t="shared" si="1"/>
        <v>196966.84999999998</v>
      </c>
      <c r="I33" s="188">
        <f t="shared" si="0"/>
        <v>15166447.174642859</v>
      </c>
      <c r="J33" s="53"/>
      <c r="K33" s="33"/>
      <c r="L33" s="38"/>
      <c r="M33" s="39"/>
      <c r="N33" s="33"/>
    </row>
    <row r="34" spans="2:14" x14ac:dyDescent="0.2">
      <c r="B34" s="264">
        <v>6</v>
      </c>
      <c r="C34" s="265"/>
      <c r="D34" s="70">
        <f t="shared" si="2"/>
        <v>45099</v>
      </c>
      <c r="E34" s="203" t="s">
        <v>95</v>
      </c>
      <c r="F34" s="71">
        <f t="shared" si="3"/>
        <v>188549.46</v>
      </c>
      <c r="G34" s="71">
        <f t="shared" si="3"/>
        <v>8417.39</v>
      </c>
      <c r="H34" s="71">
        <f t="shared" si="1"/>
        <v>196966.84999999998</v>
      </c>
      <c r="I34" s="188">
        <f t="shared" si="0"/>
        <v>14969480.324642859</v>
      </c>
      <c r="J34" s="53"/>
      <c r="K34" s="33"/>
      <c r="L34" s="38"/>
      <c r="M34" s="39"/>
      <c r="N34" s="33"/>
    </row>
    <row r="35" spans="2:14" x14ac:dyDescent="0.2">
      <c r="B35" s="264">
        <v>7</v>
      </c>
      <c r="C35" s="265"/>
      <c r="D35" s="70">
        <f t="shared" si="2"/>
        <v>45129</v>
      </c>
      <c r="E35" s="203" t="s">
        <v>96</v>
      </c>
      <c r="F35" s="71">
        <f t="shared" si="3"/>
        <v>188549.46</v>
      </c>
      <c r="G35" s="71">
        <f t="shared" si="3"/>
        <v>8417.39</v>
      </c>
      <c r="H35" s="71">
        <f t="shared" si="1"/>
        <v>196966.84999999998</v>
      </c>
      <c r="I35" s="188">
        <f t="shared" si="0"/>
        <v>14772513.47464286</v>
      </c>
      <c r="J35" s="53"/>
      <c r="K35" s="33"/>
      <c r="L35" s="38"/>
      <c r="M35" s="39"/>
      <c r="N35" s="33"/>
    </row>
    <row r="36" spans="2:14" x14ac:dyDescent="0.2">
      <c r="B36" s="264">
        <v>8</v>
      </c>
      <c r="C36" s="265"/>
      <c r="D36" s="70">
        <f t="shared" si="2"/>
        <v>45160</v>
      </c>
      <c r="E36" s="203" t="s">
        <v>97</v>
      </c>
      <c r="F36" s="71">
        <f t="shared" si="3"/>
        <v>188549.46</v>
      </c>
      <c r="G36" s="71">
        <f t="shared" si="3"/>
        <v>8417.39</v>
      </c>
      <c r="H36" s="71">
        <f t="shared" si="1"/>
        <v>196966.84999999998</v>
      </c>
      <c r="I36" s="188">
        <f t="shared" si="0"/>
        <v>14575546.62464286</v>
      </c>
      <c r="J36" s="53"/>
      <c r="K36" s="33"/>
      <c r="L36" s="38"/>
      <c r="M36" s="39"/>
      <c r="N36" s="33"/>
    </row>
    <row r="37" spans="2:14" x14ac:dyDescent="0.2">
      <c r="B37" s="264">
        <v>9</v>
      </c>
      <c r="C37" s="265"/>
      <c r="D37" s="70">
        <f t="shared" si="2"/>
        <v>45191</v>
      </c>
      <c r="E37" s="203" t="s">
        <v>98</v>
      </c>
      <c r="F37" s="71">
        <f t="shared" si="3"/>
        <v>188549.46</v>
      </c>
      <c r="G37" s="71">
        <f t="shared" si="3"/>
        <v>8417.39</v>
      </c>
      <c r="H37" s="71">
        <f t="shared" si="1"/>
        <v>196966.84999999998</v>
      </c>
      <c r="I37" s="188">
        <f t="shared" si="0"/>
        <v>14378579.774642861</v>
      </c>
      <c r="J37" s="53"/>
      <c r="K37" s="33"/>
      <c r="L37" s="38"/>
      <c r="M37" s="39"/>
      <c r="N37" s="33"/>
    </row>
    <row r="38" spans="2:14" x14ac:dyDescent="0.2">
      <c r="B38" s="264">
        <v>10</v>
      </c>
      <c r="C38" s="265"/>
      <c r="D38" s="70">
        <f t="shared" si="2"/>
        <v>45221</v>
      </c>
      <c r="E38" s="203" t="s">
        <v>99</v>
      </c>
      <c r="F38" s="71">
        <f t="shared" si="3"/>
        <v>188549.46</v>
      </c>
      <c r="G38" s="71">
        <f t="shared" si="3"/>
        <v>8417.39</v>
      </c>
      <c r="H38" s="71">
        <f t="shared" si="1"/>
        <v>196966.84999999998</v>
      </c>
      <c r="I38" s="188">
        <f t="shared" si="0"/>
        <v>14181612.924642861</v>
      </c>
      <c r="J38" s="53"/>
      <c r="K38" s="33"/>
      <c r="L38" s="38"/>
      <c r="M38" s="39"/>
      <c r="N38" s="33"/>
    </row>
    <row r="39" spans="2:14" x14ac:dyDescent="0.2">
      <c r="B39" s="264">
        <v>11</v>
      </c>
      <c r="C39" s="265"/>
      <c r="D39" s="70">
        <f t="shared" si="2"/>
        <v>45252</v>
      </c>
      <c r="E39" s="203" t="s">
        <v>100</v>
      </c>
      <c r="F39" s="71">
        <f t="shared" si="3"/>
        <v>188549.46</v>
      </c>
      <c r="G39" s="71">
        <f t="shared" si="3"/>
        <v>8417.39</v>
      </c>
      <c r="H39" s="71">
        <f t="shared" si="1"/>
        <v>196966.84999999998</v>
      </c>
      <c r="I39" s="188">
        <f t="shared" si="0"/>
        <v>13984646.074642861</v>
      </c>
      <c r="J39" s="53"/>
      <c r="K39" s="33"/>
      <c r="L39" s="38"/>
      <c r="M39" s="39"/>
      <c r="N39" s="33"/>
    </row>
    <row r="40" spans="2:14" x14ac:dyDescent="0.2">
      <c r="B40" s="264">
        <v>12</v>
      </c>
      <c r="C40" s="265"/>
      <c r="D40" s="70">
        <f t="shared" si="2"/>
        <v>45282</v>
      </c>
      <c r="E40" s="203" t="s">
        <v>101</v>
      </c>
      <c r="F40" s="71">
        <f t="shared" si="3"/>
        <v>188549.46</v>
      </c>
      <c r="G40" s="71">
        <f t="shared" si="3"/>
        <v>8417.39</v>
      </c>
      <c r="H40" s="71">
        <f t="shared" si="1"/>
        <v>196966.84999999998</v>
      </c>
      <c r="I40" s="188">
        <f t="shared" si="0"/>
        <v>13787679.224642862</v>
      </c>
      <c r="J40" s="53"/>
      <c r="K40" s="33"/>
      <c r="L40" s="38"/>
      <c r="M40" s="39"/>
      <c r="N40" s="33"/>
    </row>
    <row r="41" spans="2:14" x14ac:dyDescent="0.2">
      <c r="B41" s="264">
        <v>13</v>
      </c>
      <c r="C41" s="265"/>
      <c r="D41" s="70">
        <f t="shared" si="2"/>
        <v>45313</v>
      </c>
      <c r="E41" s="203" t="s">
        <v>102</v>
      </c>
      <c r="F41" s="71">
        <f t="shared" si="3"/>
        <v>188549.46</v>
      </c>
      <c r="G41" s="71">
        <f t="shared" si="3"/>
        <v>8417.39</v>
      </c>
      <c r="H41" s="71">
        <f t="shared" si="1"/>
        <v>196966.84999999998</v>
      </c>
      <c r="I41" s="188">
        <f t="shared" si="0"/>
        <v>13590712.374642862</v>
      </c>
      <c r="J41" s="53"/>
      <c r="K41" s="33"/>
      <c r="L41" s="38"/>
      <c r="M41" s="39"/>
      <c r="N41" s="33"/>
    </row>
    <row r="42" spans="2:14" x14ac:dyDescent="0.2">
      <c r="B42" s="264">
        <v>14</v>
      </c>
      <c r="C42" s="265"/>
      <c r="D42" s="70">
        <f t="shared" si="2"/>
        <v>45344</v>
      </c>
      <c r="E42" s="203" t="s">
        <v>103</v>
      </c>
      <c r="F42" s="71">
        <f t="shared" si="3"/>
        <v>188549.46</v>
      </c>
      <c r="G42" s="71">
        <f t="shared" si="3"/>
        <v>8417.39</v>
      </c>
      <c r="H42" s="71">
        <f t="shared" si="1"/>
        <v>196966.84999999998</v>
      </c>
      <c r="I42" s="188">
        <f t="shared" si="0"/>
        <v>13393745.524642862</v>
      </c>
      <c r="J42" s="53"/>
      <c r="K42" s="33"/>
      <c r="L42" s="38"/>
      <c r="M42" s="39"/>
      <c r="N42" s="33"/>
    </row>
    <row r="43" spans="2:14" x14ac:dyDescent="0.2">
      <c r="B43" s="264">
        <v>15</v>
      </c>
      <c r="C43" s="265"/>
      <c r="D43" s="70">
        <f t="shared" si="2"/>
        <v>45373</v>
      </c>
      <c r="E43" s="203" t="s">
        <v>104</v>
      </c>
      <c r="F43" s="71">
        <f t="shared" si="3"/>
        <v>188549.46</v>
      </c>
      <c r="G43" s="71">
        <f t="shared" si="3"/>
        <v>8417.39</v>
      </c>
      <c r="H43" s="71">
        <f t="shared" si="1"/>
        <v>196966.84999999998</v>
      </c>
      <c r="I43" s="188">
        <f t="shared" si="0"/>
        <v>13196778.674642863</v>
      </c>
      <c r="J43" s="53"/>
      <c r="K43" s="33"/>
      <c r="L43" s="38"/>
      <c r="M43" s="39"/>
      <c r="N43" s="33"/>
    </row>
    <row r="44" spans="2:14" x14ac:dyDescent="0.2">
      <c r="B44" s="264">
        <v>16</v>
      </c>
      <c r="C44" s="265"/>
      <c r="D44" s="70">
        <f t="shared" si="2"/>
        <v>45404</v>
      </c>
      <c r="E44" s="203" t="s">
        <v>105</v>
      </c>
      <c r="F44" s="71">
        <f t="shared" si="3"/>
        <v>188549.46</v>
      </c>
      <c r="G44" s="71">
        <f t="shared" si="3"/>
        <v>8417.39</v>
      </c>
      <c r="H44" s="71">
        <f t="shared" si="1"/>
        <v>196966.84999999998</v>
      </c>
      <c r="I44" s="188">
        <f t="shared" si="0"/>
        <v>12999811.824642863</v>
      </c>
      <c r="J44" s="53"/>
      <c r="K44" s="33"/>
      <c r="L44" s="38"/>
      <c r="M44" s="39"/>
      <c r="N44" s="33"/>
    </row>
    <row r="45" spans="2:14" x14ac:dyDescent="0.2">
      <c r="B45" s="264">
        <v>17</v>
      </c>
      <c r="C45" s="265"/>
      <c r="D45" s="70">
        <f t="shared" si="2"/>
        <v>45434</v>
      </c>
      <c r="E45" s="203" t="s">
        <v>106</v>
      </c>
      <c r="F45" s="71">
        <f t="shared" si="3"/>
        <v>188549.46</v>
      </c>
      <c r="G45" s="71">
        <f t="shared" si="3"/>
        <v>8417.39</v>
      </c>
      <c r="H45" s="71">
        <f t="shared" si="1"/>
        <v>196966.84999999998</v>
      </c>
      <c r="I45" s="188">
        <f t="shared" si="0"/>
        <v>12802844.974642863</v>
      </c>
      <c r="J45" s="53"/>
      <c r="K45" s="33"/>
      <c r="L45" s="38"/>
      <c r="M45" s="39"/>
      <c r="N45" s="33"/>
    </row>
    <row r="46" spans="2:14" x14ac:dyDescent="0.2">
      <c r="B46" s="264">
        <v>18</v>
      </c>
      <c r="C46" s="265"/>
      <c r="D46" s="70">
        <f t="shared" si="2"/>
        <v>45465</v>
      </c>
      <c r="E46" s="203" t="s">
        <v>107</v>
      </c>
      <c r="F46" s="71">
        <f t="shared" si="3"/>
        <v>188549.46</v>
      </c>
      <c r="G46" s="71">
        <f t="shared" si="3"/>
        <v>8417.39</v>
      </c>
      <c r="H46" s="71">
        <f t="shared" si="1"/>
        <v>196966.84999999998</v>
      </c>
      <c r="I46" s="188">
        <f t="shared" si="0"/>
        <v>12605878.124642864</v>
      </c>
      <c r="J46" s="53"/>
      <c r="K46" s="33"/>
      <c r="L46" s="38"/>
      <c r="M46" s="39"/>
      <c r="N46" s="33"/>
    </row>
    <row r="47" spans="2:14" x14ac:dyDescent="0.2">
      <c r="B47" s="264">
        <v>19</v>
      </c>
      <c r="C47" s="265"/>
      <c r="D47" s="70">
        <f t="shared" si="2"/>
        <v>45495</v>
      </c>
      <c r="E47" s="203" t="s">
        <v>108</v>
      </c>
      <c r="F47" s="71">
        <f t="shared" si="3"/>
        <v>188549.46</v>
      </c>
      <c r="G47" s="71">
        <f t="shared" si="3"/>
        <v>8417.39</v>
      </c>
      <c r="H47" s="71">
        <f t="shared" si="1"/>
        <v>196966.84999999998</v>
      </c>
      <c r="I47" s="188">
        <f t="shared" si="0"/>
        <v>12408911.274642864</v>
      </c>
      <c r="J47" s="53"/>
      <c r="K47" s="33"/>
      <c r="L47" s="38"/>
      <c r="M47" s="39"/>
      <c r="N47" s="33"/>
    </row>
    <row r="48" spans="2:14" x14ac:dyDescent="0.2">
      <c r="B48" s="264">
        <v>20</v>
      </c>
      <c r="C48" s="265"/>
      <c r="D48" s="70">
        <f t="shared" si="2"/>
        <v>45526</v>
      </c>
      <c r="E48" s="203" t="s">
        <v>109</v>
      </c>
      <c r="F48" s="71">
        <f t="shared" si="3"/>
        <v>188549.46</v>
      </c>
      <c r="G48" s="71">
        <f t="shared" si="3"/>
        <v>8417.39</v>
      </c>
      <c r="H48" s="71">
        <f t="shared" si="1"/>
        <v>196966.84999999998</v>
      </c>
      <c r="I48" s="188">
        <f t="shared" si="0"/>
        <v>12211944.424642865</v>
      </c>
      <c r="J48" s="53"/>
      <c r="K48" s="33"/>
      <c r="L48" s="38"/>
      <c r="M48" s="39"/>
      <c r="N48" s="33"/>
    </row>
    <row r="49" spans="2:14" x14ac:dyDescent="0.2">
      <c r="B49" s="264">
        <v>21</v>
      </c>
      <c r="C49" s="265"/>
      <c r="D49" s="70">
        <f t="shared" si="2"/>
        <v>45557</v>
      </c>
      <c r="E49" s="203" t="s">
        <v>110</v>
      </c>
      <c r="F49" s="71">
        <f t="shared" si="3"/>
        <v>188549.46</v>
      </c>
      <c r="G49" s="71">
        <f t="shared" si="3"/>
        <v>8417.39</v>
      </c>
      <c r="H49" s="71">
        <f t="shared" si="1"/>
        <v>196966.84999999998</v>
      </c>
      <c r="I49" s="188">
        <f t="shared" si="0"/>
        <v>12014977.574642865</v>
      </c>
      <c r="J49" s="53"/>
      <c r="K49" s="33"/>
      <c r="L49" s="38"/>
      <c r="M49" s="39"/>
      <c r="N49" s="33"/>
    </row>
    <row r="50" spans="2:14" x14ac:dyDescent="0.2">
      <c r="B50" s="264">
        <v>22</v>
      </c>
      <c r="C50" s="265"/>
      <c r="D50" s="70">
        <f t="shared" si="2"/>
        <v>45587</v>
      </c>
      <c r="E50" s="203" t="s">
        <v>111</v>
      </c>
      <c r="F50" s="71">
        <f t="shared" si="3"/>
        <v>188549.46</v>
      </c>
      <c r="G50" s="71">
        <f t="shared" si="3"/>
        <v>8417.39</v>
      </c>
      <c r="H50" s="71">
        <f t="shared" si="1"/>
        <v>196966.84999999998</v>
      </c>
      <c r="I50" s="188">
        <f t="shared" si="0"/>
        <v>11818010.724642865</v>
      </c>
      <c r="J50" s="53"/>
      <c r="K50" s="33"/>
      <c r="L50" s="38"/>
      <c r="M50" s="39"/>
      <c r="N50" s="33"/>
    </row>
    <row r="51" spans="2:14" x14ac:dyDescent="0.2">
      <c r="B51" s="264">
        <v>23</v>
      </c>
      <c r="C51" s="265"/>
      <c r="D51" s="70">
        <f t="shared" si="2"/>
        <v>45618</v>
      </c>
      <c r="E51" s="203" t="s">
        <v>112</v>
      </c>
      <c r="F51" s="71">
        <f t="shared" si="3"/>
        <v>188549.46</v>
      </c>
      <c r="G51" s="71">
        <f t="shared" si="3"/>
        <v>8417.39</v>
      </c>
      <c r="H51" s="71">
        <f t="shared" si="1"/>
        <v>196966.84999999998</v>
      </c>
      <c r="I51" s="188">
        <f t="shared" si="0"/>
        <v>11621043.874642866</v>
      </c>
      <c r="J51" s="53"/>
      <c r="K51" s="33"/>
      <c r="L51" s="38"/>
      <c r="M51" s="39"/>
      <c r="N51" s="33"/>
    </row>
    <row r="52" spans="2:14" x14ac:dyDescent="0.2">
      <c r="B52" s="264">
        <v>24</v>
      </c>
      <c r="C52" s="265"/>
      <c r="D52" s="70">
        <f t="shared" si="2"/>
        <v>45648</v>
      </c>
      <c r="E52" s="203" t="s">
        <v>113</v>
      </c>
      <c r="F52" s="71">
        <f t="shared" si="3"/>
        <v>188549.46</v>
      </c>
      <c r="G52" s="71">
        <f t="shared" si="3"/>
        <v>8417.39</v>
      </c>
      <c r="H52" s="71">
        <f t="shared" si="1"/>
        <v>196966.84999999998</v>
      </c>
      <c r="I52" s="188">
        <f t="shared" si="0"/>
        <v>11424077.024642866</v>
      </c>
      <c r="J52" s="53"/>
      <c r="K52" s="33"/>
      <c r="L52" s="38"/>
      <c r="M52" s="39"/>
      <c r="N52" s="33"/>
    </row>
    <row r="53" spans="2:14" x14ac:dyDescent="0.2">
      <c r="B53" s="264">
        <v>25</v>
      </c>
      <c r="C53" s="265"/>
      <c r="D53" s="70">
        <f t="shared" si="2"/>
        <v>45679</v>
      </c>
      <c r="E53" s="203" t="s">
        <v>114</v>
      </c>
      <c r="F53" s="71">
        <f t="shared" si="3"/>
        <v>188549.46</v>
      </c>
      <c r="G53" s="71">
        <f t="shared" si="3"/>
        <v>8417.39</v>
      </c>
      <c r="H53" s="71">
        <f t="shared" si="1"/>
        <v>196966.84999999998</v>
      </c>
      <c r="I53" s="188">
        <f t="shared" si="0"/>
        <v>11227110.174642866</v>
      </c>
      <c r="J53" s="53"/>
      <c r="K53" s="33"/>
      <c r="L53" s="38"/>
      <c r="M53" s="39"/>
      <c r="N53" s="33"/>
    </row>
    <row r="54" spans="2:14" x14ac:dyDescent="0.2">
      <c r="B54" s="264">
        <v>26</v>
      </c>
      <c r="C54" s="265"/>
      <c r="D54" s="70">
        <f t="shared" si="2"/>
        <v>45710</v>
      </c>
      <c r="E54" s="203" t="s">
        <v>119</v>
      </c>
      <c r="F54" s="71">
        <f t="shared" si="3"/>
        <v>188549.46</v>
      </c>
      <c r="G54" s="71">
        <f t="shared" si="3"/>
        <v>8417.39</v>
      </c>
      <c r="H54" s="71">
        <f t="shared" si="1"/>
        <v>196966.84999999998</v>
      </c>
      <c r="I54" s="188">
        <f t="shared" si="0"/>
        <v>11030143.324642867</v>
      </c>
      <c r="J54" s="53"/>
      <c r="K54" s="33"/>
      <c r="L54" s="38"/>
      <c r="M54" s="39"/>
      <c r="N54" s="33"/>
    </row>
    <row r="55" spans="2:14" x14ac:dyDescent="0.2">
      <c r="B55" s="264">
        <v>27</v>
      </c>
      <c r="C55" s="265"/>
      <c r="D55" s="70">
        <f t="shared" si="2"/>
        <v>45738</v>
      </c>
      <c r="E55" s="203" t="s">
        <v>120</v>
      </c>
      <c r="F55" s="71">
        <f t="shared" si="3"/>
        <v>188549.46</v>
      </c>
      <c r="G55" s="71">
        <f t="shared" si="3"/>
        <v>8417.39</v>
      </c>
      <c r="H55" s="71">
        <f t="shared" si="1"/>
        <v>196966.84999999998</v>
      </c>
      <c r="I55" s="188">
        <f t="shared" si="0"/>
        <v>10833176.474642867</v>
      </c>
      <c r="J55" s="53"/>
      <c r="K55" s="33"/>
      <c r="L55" s="38"/>
      <c r="M55" s="39"/>
      <c r="N55" s="33"/>
    </row>
    <row r="56" spans="2:14" x14ac:dyDescent="0.2">
      <c r="B56" s="264">
        <v>28</v>
      </c>
      <c r="C56" s="265"/>
      <c r="D56" s="70">
        <f t="shared" si="2"/>
        <v>45769</v>
      </c>
      <c r="E56" s="203" t="s">
        <v>121</v>
      </c>
      <c r="F56" s="71">
        <f t="shared" si="3"/>
        <v>188549.46</v>
      </c>
      <c r="G56" s="71">
        <f t="shared" si="3"/>
        <v>8417.39</v>
      </c>
      <c r="H56" s="71">
        <f t="shared" si="1"/>
        <v>196966.84999999998</v>
      </c>
      <c r="I56" s="188">
        <f t="shared" si="0"/>
        <v>10636209.624642868</v>
      </c>
      <c r="J56" s="53"/>
      <c r="K56" s="33"/>
      <c r="L56" s="38"/>
      <c r="M56" s="39"/>
      <c r="N56" s="33"/>
    </row>
    <row r="57" spans="2:14" x14ac:dyDescent="0.2">
      <c r="B57" s="264">
        <v>29</v>
      </c>
      <c r="C57" s="265"/>
      <c r="D57" s="70">
        <f t="shared" si="2"/>
        <v>45799</v>
      </c>
      <c r="E57" s="203" t="s">
        <v>122</v>
      </c>
      <c r="F57" s="71">
        <f t="shared" si="3"/>
        <v>188549.46</v>
      </c>
      <c r="G57" s="71">
        <f t="shared" si="3"/>
        <v>8417.39</v>
      </c>
      <c r="H57" s="71">
        <f t="shared" si="1"/>
        <v>196966.84999999998</v>
      </c>
      <c r="I57" s="188">
        <f t="shared" si="0"/>
        <v>10439242.774642868</v>
      </c>
      <c r="J57" s="53"/>
      <c r="K57" s="33"/>
      <c r="L57" s="38"/>
      <c r="M57" s="39"/>
      <c r="N57" s="33"/>
    </row>
    <row r="58" spans="2:14" x14ac:dyDescent="0.2">
      <c r="B58" s="264">
        <v>30</v>
      </c>
      <c r="C58" s="265"/>
      <c r="D58" s="70">
        <f t="shared" si="2"/>
        <v>45830</v>
      </c>
      <c r="E58" s="203" t="s">
        <v>123</v>
      </c>
      <c r="F58" s="71">
        <f t="shared" si="3"/>
        <v>188549.46</v>
      </c>
      <c r="G58" s="71">
        <f t="shared" si="3"/>
        <v>8417.39</v>
      </c>
      <c r="H58" s="71">
        <f t="shared" si="1"/>
        <v>196966.84999999998</v>
      </c>
      <c r="I58" s="188">
        <f t="shared" si="0"/>
        <v>10242275.924642868</v>
      </c>
      <c r="J58" s="53"/>
      <c r="K58" s="33"/>
      <c r="L58" s="38"/>
      <c r="M58" s="39"/>
      <c r="N58" s="33"/>
    </row>
    <row r="59" spans="2:14" x14ac:dyDescent="0.2">
      <c r="B59" s="264">
        <v>31</v>
      </c>
      <c r="C59" s="265"/>
      <c r="D59" s="70">
        <f t="shared" si="2"/>
        <v>45860</v>
      </c>
      <c r="E59" s="203" t="s">
        <v>124</v>
      </c>
      <c r="F59" s="71">
        <f t="shared" si="3"/>
        <v>188549.46</v>
      </c>
      <c r="G59" s="71">
        <f t="shared" si="3"/>
        <v>8417.39</v>
      </c>
      <c r="H59" s="71">
        <f t="shared" si="1"/>
        <v>196966.84999999998</v>
      </c>
      <c r="I59" s="188">
        <f t="shared" si="0"/>
        <v>10045309.074642869</v>
      </c>
      <c r="J59" s="53"/>
      <c r="K59" s="33"/>
      <c r="L59" s="38"/>
      <c r="M59" s="39"/>
      <c r="N59" s="33"/>
    </row>
    <row r="60" spans="2:14" x14ac:dyDescent="0.2">
      <c r="B60" s="264">
        <v>32</v>
      </c>
      <c r="C60" s="265"/>
      <c r="D60" s="70">
        <f t="shared" si="2"/>
        <v>45891</v>
      </c>
      <c r="E60" s="203" t="s">
        <v>125</v>
      </c>
      <c r="F60" s="71">
        <f t="shared" si="3"/>
        <v>188549.46</v>
      </c>
      <c r="G60" s="71">
        <f t="shared" si="3"/>
        <v>8417.39</v>
      </c>
      <c r="H60" s="71">
        <f t="shared" si="1"/>
        <v>196966.84999999998</v>
      </c>
      <c r="I60" s="188">
        <f t="shared" si="0"/>
        <v>9848342.2246428691</v>
      </c>
      <c r="J60" s="53"/>
      <c r="K60" s="33"/>
      <c r="L60" s="38"/>
      <c r="M60" s="39"/>
      <c r="N60" s="33"/>
    </row>
    <row r="61" spans="2:14" x14ac:dyDescent="0.2">
      <c r="B61" s="264">
        <v>33</v>
      </c>
      <c r="C61" s="265"/>
      <c r="D61" s="70">
        <f t="shared" si="2"/>
        <v>45922</v>
      </c>
      <c r="E61" s="203" t="s">
        <v>126</v>
      </c>
      <c r="F61" s="71">
        <f t="shared" si="3"/>
        <v>188549.46</v>
      </c>
      <c r="G61" s="71">
        <f t="shared" si="3"/>
        <v>8417.39</v>
      </c>
      <c r="H61" s="71">
        <f t="shared" si="1"/>
        <v>196966.84999999998</v>
      </c>
      <c r="I61" s="188">
        <f t="shared" si="0"/>
        <v>9651375.3746428695</v>
      </c>
      <c r="J61" s="53"/>
      <c r="K61" s="33"/>
      <c r="L61" s="38"/>
      <c r="M61" s="39"/>
      <c r="N61" s="33"/>
    </row>
    <row r="62" spans="2:14" x14ac:dyDescent="0.2">
      <c r="B62" s="264">
        <v>34</v>
      </c>
      <c r="C62" s="265"/>
      <c r="D62" s="70">
        <f t="shared" si="2"/>
        <v>45952</v>
      </c>
      <c r="E62" s="203" t="s">
        <v>127</v>
      </c>
      <c r="F62" s="71">
        <f t="shared" si="3"/>
        <v>188549.46</v>
      </c>
      <c r="G62" s="71">
        <f t="shared" si="3"/>
        <v>8417.39</v>
      </c>
      <c r="H62" s="71">
        <f t="shared" si="1"/>
        <v>196966.84999999998</v>
      </c>
      <c r="I62" s="188">
        <f t="shared" si="0"/>
        <v>9454408.5246428698</v>
      </c>
      <c r="J62" s="53"/>
      <c r="K62" s="33"/>
      <c r="L62" s="38"/>
      <c r="M62" s="39"/>
      <c r="N62" s="33"/>
    </row>
    <row r="63" spans="2:14" x14ac:dyDescent="0.2">
      <c r="B63" s="264">
        <v>35</v>
      </c>
      <c r="C63" s="265"/>
      <c r="D63" s="70">
        <f t="shared" si="2"/>
        <v>45983</v>
      </c>
      <c r="E63" s="203" t="s">
        <v>128</v>
      </c>
      <c r="F63" s="71">
        <f t="shared" si="3"/>
        <v>188549.46</v>
      </c>
      <c r="G63" s="71">
        <f t="shared" si="3"/>
        <v>8417.39</v>
      </c>
      <c r="H63" s="71">
        <f t="shared" si="1"/>
        <v>196966.84999999998</v>
      </c>
      <c r="I63" s="188">
        <f t="shared" si="0"/>
        <v>9257441.6746428702</v>
      </c>
      <c r="J63" s="53"/>
      <c r="K63" s="33"/>
      <c r="L63" s="38"/>
      <c r="M63" s="39"/>
      <c r="N63" s="33"/>
    </row>
    <row r="64" spans="2:14" x14ac:dyDescent="0.2">
      <c r="B64" s="264">
        <v>36</v>
      </c>
      <c r="C64" s="265"/>
      <c r="D64" s="70">
        <f t="shared" si="2"/>
        <v>46013</v>
      </c>
      <c r="E64" s="203" t="s">
        <v>129</v>
      </c>
      <c r="F64" s="71">
        <f t="shared" si="3"/>
        <v>188549.46</v>
      </c>
      <c r="G64" s="71">
        <f t="shared" si="3"/>
        <v>8417.39</v>
      </c>
      <c r="H64" s="71">
        <f t="shared" si="1"/>
        <v>196966.84999999998</v>
      </c>
      <c r="I64" s="188">
        <f t="shared" si="0"/>
        <v>9060474.8246428706</v>
      </c>
      <c r="J64" s="53"/>
      <c r="K64" s="33"/>
      <c r="L64" s="38"/>
      <c r="M64" s="39"/>
      <c r="N64" s="33"/>
    </row>
    <row r="65" spans="2:18" x14ac:dyDescent="0.2">
      <c r="B65" s="264">
        <v>37</v>
      </c>
      <c r="C65" s="265"/>
      <c r="D65" s="70">
        <f t="shared" si="2"/>
        <v>46044</v>
      </c>
      <c r="E65" s="203" t="s">
        <v>130</v>
      </c>
      <c r="F65" s="71">
        <f t="shared" si="3"/>
        <v>188549.46</v>
      </c>
      <c r="G65" s="71">
        <f t="shared" si="3"/>
        <v>8417.39</v>
      </c>
      <c r="H65" s="71">
        <f t="shared" si="1"/>
        <v>196966.84999999998</v>
      </c>
      <c r="I65" s="188">
        <f t="shared" si="0"/>
        <v>8863507.9746428709</v>
      </c>
      <c r="J65" s="53"/>
      <c r="K65" s="33"/>
      <c r="L65" s="38"/>
      <c r="M65" s="39"/>
      <c r="N65" s="33"/>
    </row>
    <row r="66" spans="2:18" ht="15.75" thickBot="1" x14ac:dyDescent="0.25">
      <c r="B66" s="264">
        <v>38</v>
      </c>
      <c r="C66" s="265"/>
      <c r="D66" s="70">
        <f t="shared" si="2"/>
        <v>46075</v>
      </c>
      <c r="E66" s="195" t="s">
        <v>143</v>
      </c>
      <c r="F66" s="196">
        <f>(D24-D22)-SUM(F27:F65)</f>
        <v>8484725.6999999993</v>
      </c>
      <c r="G66" s="196">
        <f>D22-SUM(G27:G65)</f>
        <v>378782.27464285668</v>
      </c>
      <c r="H66" s="196">
        <f t="shared" si="1"/>
        <v>8863507.974642856</v>
      </c>
      <c r="I66" s="188">
        <f t="shared" si="0"/>
        <v>1.4901161193847656E-8</v>
      </c>
      <c r="J66" s="53"/>
      <c r="K66" s="33"/>
      <c r="L66" s="38"/>
      <c r="M66" s="39"/>
      <c r="N66" s="33"/>
    </row>
    <row r="67" spans="2:18" ht="15.75" thickBot="1" x14ac:dyDescent="0.25">
      <c r="B67" s="80"/>
      <c r="C67" s="81"/>
      <c r="D67" s="82"/>
      <c r="E67" s="83" t="s">
        <v>81</v>
      </c>
      <c r="F67" s="84">
        <f>SUM(F27:F66)</f>
        <v>16969451.399999999</v>
      </c>
      <c r="G67" s="84">
        <f>SUM(G27:G66)</f>
        <v>757564.79464285704</v>
      </c>
      <c r="H67" s="84">
        <f>SUM(H27:H66)</f>
        <v>17727016.194642849</v>
      </c>
      <c r="I67" s="85"/>
      <c r="J67" s="33"/>
      <c r="K67" s="33"/>
      <c r="L67" s="38">
        <f>SUM(L27:L66)</f>
        <v>56000</v>
      </c>
      <c r="M67" s="39">
        <f>L67-F67</f>
        <v>-16913451.399999999</v>
      </c>
      <c r="N67" s="33"/>
    </row>
    <row r="68" spans="2:18" x14ac:dyDescent="0.2">
      <c r="D68" s="60"/>
      <c r="L68" s="61"/>
    </row>
    <row r="69" spans="2:18" x14ac:dyDescent="0.2">
      <c r="B69" s="62" t="s">
        <v>82</v>
      </c>
      <c r="C69" s="62"/>
      <c r="D69" s="60"/>
      <c r="M69" s="33"/>
      <c r="N69" s="38"/>
      <c r="O69" s="33"/>
      <c r="P69" s="33"/>
      <c r="Q69" s="65"/>
      <c r="R69" s="65"/>
    </row>
    <row r="70" spans="2:18" ht="15" customHeight="1" x14ac:dyDescent="0.2">
      <c r="B70" s="261" t="s">
        <v>266</v>
      </c>
      <c r="C70" s="261"/>
      <c r="D70" s="261"/>
      <c r="E70" s="261"/>
      <c r="F70" s="261"/>
      <c r="G70" s="261"/>
      <c r="H70" s="261"/>
      <c r="I70" s="261"/>
      <c r="J70" s="111"/>
      <c r="K70" s="111"/>
      <c r="M70" s="33"/>
      <c r="N70" s="33"/>
      <c r="O70" s="33"/>
      <c r="P70" s="33"/>
      <c r="Q70" s="65"/>
      <c r="R70" s="65"/>
    </row>
    <row r="71" spans="2:18" ht="15" customHeight="1" x14ac:dyDescent="0.2">
      <c r="B71" s="261"/>
      <c r="C71" s="261"/>
      <c r="D71" s="261"/>
      <c r="E71" s="261"/>
      <c r="F71" s="261"/>
      <c r="G71" s="261"/>
      <c r="H71" s="261"/>
      <c r="I71" s="261"/>
      <c r="J71" s="260"/>
      <c r="K71" s="260"/>
      <c r="M71" s="33"/>
      <c r="N71" s="33"/>
      <c r="O71" s="33"/>
      <c r="P71" s="33"/>
      <c r="Q71" s="65"/>
      <c r="R71" s="65"/>
    </row>
    <row r="72" spans="2:18" ht="15" customHeight="1" x14ac:dyDescent="0.2">
      <c r="B72" s="261"/>
      <c r="C72" s="261"/>
      <c r="D72" s="261"/>
      <c r="E72" s="261"/>
      <c r="F72" s="261"/>
      <c r="G72" s="261"/>
      <c r="H72" s="261"/>
      <c r="I72" s="261"/>
      <c r="J72" s="260"/>
      <c r="K72" s="260"/>
      <c r="M72" s="33"/>
      <c r="N72" s="33"/>
      <c r="O72" s="33"/>
      <c r="P72" s="33"/>
      <c r="Q72" s="65"/>
      <c r="R72" s="65"/>
    </row>
    <row r="73" spans="2:18" x14ac:dyDescent="0.2">
      <c r="B73" s="261"/>
      <c r="C73" s="261"/>
      <c r="D73" s="261"/>
      <c r="E73" s="261"/>
      <c r="F73" s="261"/>
      <c r="G73" s="261"/>
      <c r="H73" s="261"/>
      <c r="I73" s="261"/>
      <c r="J73" s="260"/>
      <c r="K73" s="260"/>
      <c r="M73" s="33"/>
      <c r="N73" s="33"/>
      <c r="O73" s="33"/>
      <c r="P73" s="33"/>
      <c r="Q73" s="65"/>
      <c r="R73" s="65"/>
    </row>
    <row r="74" spans="2:18" ht="71.099999999999994" customHeight="1" x14ac:dyDescent="0.2">
      <c r="B74" s="261"/>
      <c r="C74" s="261"/>
      <c r="D74" s="261"/>
      <c r="E74" s="261"/>
      <c r="F74" s="261"/>
      <c r="G74" s="261"/>
      <c r="H74" s="261"/>
      <c r="I74" s="261"/>
      <c r="J74" s="260"/>
      <c r="K74" s="260"/>
      <c r="M74" s="33"/>
      <c r="N74" s="33"/>
      <c r="O74" s="33"/>
      <c r="P74" s="33"/>
      <c r="Q74" s="65"/>
      <c r="R74" s="65"/>
    </row>
    <row r="75" spans="2:18" ht="6.75" hidden="1" customHeight="1" x14ac:dyDescent="0.2">
      <c r="B75" s="261"/>
      <c r="C75" s="261"/>
      <c r="D75" s="261"/>
      <c r="E75" s="261"/>
      <c r="F75" s="261"/>
      <c r="G75" s="261"/>
      <c r="H75" s="261"/>
      <c r="I75" s="261"/>
      <c r="J75" s="260"/>
      <c r="K75" s="260"/>
      <c r="M75" s="33"/>
      <c r="N75" s="33"/>
      <c r="O75" s="33"/>
      <c r="P75" s="33"/>
      <c r="Q75" s="65"/>
      <c r="R75" s="65"/>
    </row>
    <row r="76" spans="2:18" ht="24" customHeight="1" x14ac:dyDescent="0.2">
      <c r="B76" s="261"/>
      <c r="C76" s="261"/>
      <c r="D76" s="261"/>
      <c r="E76" s="261"/>
      <c r="F76" s="261"/>
      <c r="G76" s="261"/>
      <c r="H76" s="261"/>
      <c r="I76" s="261"/>
      <c r="J76" s="260"/>
      <c r="K76" s="260"/>
      <c r="M76" s="33"/>
      <c r="N76" s="33"/>
      <c r="O76" s="33"/>
      <c r="P76" s="33"/>
      <c r="Q76" s="65"/>
      <c r="R76" s="65"/>
    </row>
    <row r="77" spans="2:18" ht="7.5" hidden="1" customHeight="1" x14ac:dyDescent="0.2">
      <c r="B77" s="261"/>
      <c r="C77" s="261"/>
      <c r="D77" s="261"/>
      <c r="E77" s="261"/>
      <c r="F77" s="261"/>
      <c r="G77" s="261"/>
      <c r="H77" s="261"/>
      <c r="I77" s="261"/>
      <c r="J77" s="260"/>
      <c r="K77" s="260"/>
      <c r="M77" s="33"/>
      <c r="N77" s="33"/>
      <c r="O77" s="33"/>
      <c r="P77" s="33"/>
      <c r="Q77" s="65"/>
      <c r="R77" s="65"/>
    </row>
    <row r="78" spans="2:18" hidden="1" x14ac:dyDescent="0.2">
      <c r="B78" s="63"/>
      <c r="C78" s="63"/>
      <c r="M78" s="33"/>
      <c r="N78" s="33"/>
      <c r="O78" s="33"/>
      <c r="P78" s="33"/>
      <c r="Q78" s="65"/>
      <c r="R78" s="65"/>
    </row>
    <row r="79" spans="2:18" hidden="1" x14ac:dyDescent="0.2">
      <c r="B79" s="64"/>
      <c r="C79" s="64"/>
      <c r="M79" s="33"/>
      <c r="N79" s="33"/>
      <c r="O79" s="33"/>
      <c r="P79" s="33"/>
      <c r="Q79" s="65"/>
      <c r="R79" s="65"/>
    </row>
    <row r="80" spans="2:18" hidden="1" x14ac:dyDescent="0.2">
      <c r="B80" s="64"/>
      <c r="C80" s="64"/>
      <c r="M80" s="33"/>
      <c r="N80" s="33"/>
      <c r="O80" s="33"/>
      <c r="P80" s="33"/>
      <c r="Q80" s="65"/>
      <c r="R80" s="65"/>
    </row>
    <row r="81" spans="1:28" hidden="1" x14ac:dyDescent="0.2">
      <c r="B81" s="64"/>
      <c r="C81" s="64"/>
      <c r="M81" s="33"/>
      <c r="N81" s="33"/>
      <c r="O81" s="33"/>
      <c r="P81" s="33"/>
      <c r="Q81" s="65"/>
      <c r="R81" s="65"/>
    </row>
    <row r="82" spans="1:28" hidden="1" x14ac:dyDescent="0.2">
      <c r="B82" s="64"/>
      <c r="C82" s="64"/>
      <c r="M82" s="33"/>
      <c r="N82" s="33"/>
      <c r="O82" s="33"/>
      <c r="P82" s="33"/>
      <c r="Q82" s="65"/>
      <c r="R82" s="65"/>
    </row>
    <row r="83" spans="1:28" s="65" customFormat="1" hidden="1" x14ac:dyDescent="0.2">
      <c r="A83" s="22"/>
      <c r="B83" s="64"/>
      <c r="C83" s="64"/>
      <c r="M83" s="33"/>
      <c r="N83" s="33"/>
      <c r="O83" s="33"/>
      <c r="P83" s="33"/>
    </row>
    <row r="84" spans="1:28" hidden="1" x14ac:dyDescent="0.2">
      <c r="M84" s="33"/>
      <c r="N84" s="33"/>
      <c r="O84" s="33"/>
      <c r="P84" s="33"/>
      <c r="Q84" s="65"/>
      <c r="R84" s="65"/>
    </row>
    <row r="85" spans="1:28" x14ac:dyDescent="0.2">
      <c r="B85" s="66" t="s">
        <v>84</v>
      </c>
      <c r="C85" s="66"/>
      <c r="M85" s="33"/>
      <c r="N85" s="33"/>
      <c r="O85" s="33"/>
      <c r="P85" s="33"/>
      <c r="Q85" s="65"/>
      <c r="R85" s="65"/>
    </row>
    <row r="86" spans="1:28" x14ac:dyDescent="0.2">
      <c r="M86" s="33"/>
      <c r="N86" s="33"/>
      <c r="O86" s="33"/>
      <c r="P86" s="33"/>
      <c r="Q86" s="65"/>
      <c r="R86" s="65"/>
    </row>
    <row r="87" spans="1:28" x14ac:dyDescent="0.2">
      <c r="M87" s="33"/>
      <c r="N87" s="33"/>
      <c r="O87" s="33"/>
      <c r="P87" s="33"/>
      <c r="Q87" s="65"/>
      <c r="R87" s="65"/>
    </row>
    <row r="88" spans="1:28" x14ac:dyDescent="0.2">
      <c r="B88" s="259" t="s">
        <v>85</v>
      </c>
      <c r="C88" s="259"/>
      <c r="D88" s="259"/>
      <c r="F88" s="259" t="s">
        <v>86</v>
      </c>
      <c r="G88" s="259"/>
      <c r="H88" s="259"/>
      <c r="I88" s="259"/>
      <c r="J88" s="259"/>
      <c r="K88" s="259"/>
      <c r="M88" s="33"/>
      <c r="N88" s="33"/>
      <c r="O88" s="33"/>
      <c r="P88" s="33"/>
      <c r="Q88" s="65"/>
      <c r="R88" s="65"/>
    </row>
    <row r="90" spans="1:28" x14ac:dyDescent="0.2">
      <c r="B90" s="67"/>
      <c r="C90" s="67"/>
      <c r="D90" s="67"/>
      <c r="E90" s="67"/>
      <c r="F90" s="67"/>
      <c r="G90" s="67"/>
      <c r="H90" s="67"/>
      <c r="I90" s="67"/>
      <c r="J90" s="33"/>
      <c r="K90" s="33"/>
      <c r="L90" s="33"/>
      <c r="M90" s="33"/>
      <c r="N90" s="33"/>
      <c r="O90" s="33"/>
      <c r="P90" s="33"/>
      <c r="Q90" s="33"/>
      <c r="R90" s="33"/>
      <c r="S90" s="33"/>
      <c r="T90" s="31"/>
      <c r="U90" s="31"/>
      <c r="V90" s="31"/>
      <c r="W90" s="31"/>
      <c r="X90" s="31"/>
      <c r="Y90" s="31"/>
      <c r="Z90" s="31"/>
      <c r="AA90" s="31"/>
      <c r="AB90" s="31"/>
    </row>
    <row r="91" spans="1:28" x14ac:dyDescent="0.2">
      <c r="B91" s="67"/>
      <c r="C91" s="67"/>
      <c r="D91" s="67"/>
      <c r="E91" s="67"/>
      <c r="F91" s="67"/>
      <c r="G91" s="67"/>
      <c r="H91" s="67"/>
      <c r="I91" s="67"/>
      <c r="J91" s="33"/>
      <c r="K91" s="33"/>
      <c r="L91" s="33"/>
      <c r="M91" s="33"/>
      <c r="N91" s="33"/>
      <c r="O91" s="33"/>
      <c r="P91" s="33"/>
      <c r="Q91" s="33"/>
      <c r="R91" s="33"/>
      <c r="S91" s="33"/>
      <c r="T91" s="31"/>
      <c r="U91" s="31"/>
      <c r="V91" s="31"/>
      <c r="W91" s="31"/>
      <c r="X91" s="31"/>
      <c r="Y91" s="31"/>
      <c r="Z91" s="31"/>
      <c r="AA91" s="31"/>
      <c r="AB91" s="31"/>
    </row>
    <row r="92" spans="1:28" x14ac:dyDescent="0.2">
      <c r="B92" s="67"/>
      <c r="C92" s="67"/>
      <c r="D92" s="67"/>
      <c r="E92" s="67"/>
      <c r="F92" s="67"/>
      <c r="G92" s="67"/>
      <c r="H92" s="67"/>
      <c r="I92" s="67"/>
    </row>
    <row r="93" spans="1:28" x14ac:dyDescent="0.2">
      <c r="B93" s="67"/>
      <c r="C93" s="67"/>
      <c r="D93" s="67"/>
      <c r="E93" s="67"/>
      <c r="F93" s="67"/>
      <c r="G93" s="67"/>
      <c r="H93" s="67"/>
      <c r="I93" s="67"/>
    </row>
    <row r="94" spans="1:28" x14ac:dyDescent="0.2">
      <c r="B94" s="262" t="s">
        <v>144</v>
      </c>
      <c r="C94" s="262"/>
      <c r="D94" s="262"/>
      <c r="E94" s="262"/>
      <c r="F94" s="262"/>
      <c r="G94" s="262"/>
      <c r="H94" s="262"/>
      <c r="I94" s="262"/>
      <c r="J94" s="68"/>
    </row>
    <row r="95" spans="1:28" x14ac:dyDescent="0.2">
      <c r="B95" s="263" t="s">
        <v>145</v>
      </c>
      <c r="C95" s="263"/>
      <c r="D95" s="263"/>
      <c r="E95" s="263"/>
      <c r="F95" s="263"/>
      <c r="G95" s="263"/>
      <c r="H95" s="263"/>
      <c r="I95" s="263"/>
      <c r="J95" s="68"/>
    </row>
    <row r="96" spans="1:28" x14ac:dyDescent="0.2">
      <c r="B96" s="262" t="s">
        <v>146</v>
      </c>
      <c r="C96" s="262"/>
      <c r="D96" s="262"/>
      <c r="E96" s="262"/>
      <c r="F96" s="262"/>
      <c r="G96" s="262"/>
      <c r="H96" s="262"/>
      <c r="I96" s="262"/>
      <c r="J96" s="68"/>
    </row>
    <row r="97" spans="1:10" x14ac:dyDescent="0.2">
      <c r="B97" s="262" t="s">
        <v>147</v>
      </c>
      <c r="C97" s="262"/>
      <c r="D97" s="262"/>
      <c r="E97" s="262"/>
      <c r="F97" s="262"/>
      <c r="G97" s="262"/>
      <c r="H97" s="262"/>
      <c r="I97" s="262"/>
      <c r="J97" s="68"/>
    </row>
    <row r="98" spans="1:10" x14ac:dyDescent="0.2">
      <c r="B98" s="262" t="s">
        <v>148</v>
      </c>
      <c r="C98" s="262"/>
      <c r="D98" s="262"/>
      <c r="E98" s="262"/>
      <c r="F98" s="262"/>
      <c r="G98" s="262"/>
      <c r="H98" s="262"/>
      <c r="I98" s="262"/>
      <c r="J98" s="68"/>
    </row>
    <row r="99" spans="1:10" x14ac:dyDescent="0.2">
      <c r="B99" s="68"/>
      <c r="C99" s="68"/>
      <c r="D99" s="68"/>
      <c r="E99" s="68"/>
      <c r="F99" s="68"/>
      <c r="G99" s="68"/>
      <c r="H99" s="68"/>
      <c r="I99" s="68"/>
      <c r="J99" s="68"/>
    </row>
    <row r="100" spans="1:10" x14ac:dyDescent="0.2">
      <c r="B100" s="67"/>
      <c r="C100" s="67"/>
      <c r="D100" s="67"/>
      <c r="E100" s="67"/>
      <c r="F100" s="67"/>
      <c r="G100" s="67"/>
      <c r="H100" s="67"/>
      <c r="I100" s="67"/>
    </row>
    <row r="101" spans="1:10" x14ac:dyDescent="0.2">
      <c r="B101" s="67"/>
      <c r="C101" s="67"/>
      <c r="D101" s="67"/>
      <c r="E101" s="67"/>
      <c r="F101" s="67"/>
      <c r="G101" s="67"/>
      <c r="H101" s="67"/>
      <c r="I101" s="67"/>
    </row>
    <row r="102" spans="1:10" x14ac:dyDescent="0.2">
      <c r="B102" s="67"/>
      <c r="C102" s="67"/>
      <c r="D102" s="67"/>
      <c r="E102" s="67"/>
      <c r="F102" s="67"/>
      <c r="G102" s="67"/>
      <c r="H102" s="67"/>
      <c r="I102" s="67"/>
    </row>
    <row r="103" spans="1:10" x14ac:dyDescent="0.2">
      <c r="B103" s="67"/>
      <c r="C103" s="67"/>
      <c r="D103" s="67"/>
      <c r="E103" s="67"/>
      <c r="F103" s="67"/>
      <c r="G103" s="67"/>
      <c r="H103" s="67"/>
      <c r="I103" s="67"/>
    </row>
    <row r="105" spans="1:10" x14ac:dyDescent="0.2">
      <c r="A105" s="65"/>
    </row>
  </sheetData>
  <sheetProtection password="C931" sheet="1" selectLockedCells="1"/>
  <mergeCells count="65">
    <mergeCell ref="C10:D10"/>
    <mergeCell ref="B26:C26"/>
    <mergeCell ref="B27:C27"/>
    <mergeCell ref="B29:C29"/>
    <mergeCell ref="B53:C53"/>
    <mergeCell ref="B42:C42"/>
    <mergeCell ref="B43:C43"/>
    <mergeCell ref="B44:C44"/>
    <mergeCell ref="B45:C45"/>
    <mergeCell ref="B46:C46"/>
    <mergeCell ref="B47:C47"/>
    <mergeCell ref="B48:C48"/>
    <mergeCell ref="B49:C49"/>
    <mergeCell ref="B50:C50"/>
    <mergeCell ref="B51:C51"/>
    <mergeCell ref="B52:C52"/>
    <mergeCell ref="L1:L3"/>
    <mergeCell ref="I2:I3"/>
    <mergeCell ref="C6:D6"/>
    <mergeCell ref="C7:D7"/>
    <mergeCell ref="C8:D8"/>
    <mergeCell ref="C9:D9"/>
    <mergeCell ref="C12:D12"/>
    <mergeCell ref="B10:B12"/>
    <mergeCell ref="B28:C28"/>
    <mergeCell ref="B41:C41"/>
    <mergeCell ref="B30:C30"/>
    <mergeCell ref="B31:C31"/>
    <mergeCell ref="B32:C32"/>
    <mergeCell ref="B33:C33"/>
    <mergeCell ref="B34:C34"/>
    <mergeCell ref="B35:C35"/>
    <mergeCell ref="B36:C36"/>
    <mergeCell ref="B37:C37"/>
    <mergeCell ref="B38:C38"/>
    <mergeCell ref="B39:C39"/>
    <mergeCell ref="B40:C40"/>
    <mergeCell ref="B64:C64"/>
    <mergeCell ref="B65:C65"/>
    <mergeCell ref="B54:C54"/>
    <mergeCell ref="B55:C55"/>
    <mergeCell ref="B56:C56"/>
    <mergeCell ref="B57:C57"/>
    <mergeCell ref="B58:C58"/>
    <mergeCell ref="B59:C59"/>
    <mergeCell ref="B60:C60"/>
    <mergeCell ref="B61:C61"/>
    <mergeCell ref="B62:C62"/>
    <mergeCell ref="B63:C63"/>
    <mergeCell ref="B97:I97"/>
    <mergeCell ref="B98:I98"/>
    <mergeCell ref="B95:I95"/>
    <mergeCell ref="B94:I94"/>
    <mergeCell ref="B96:I96"/>
    <mergeCell ref="B88:D88"/>
    <mergeCell ref="F88:K88"/>
    <mergeCell ref="B66:C66"/>
    <mergeCell ref="B70:I77"/>
    <mergeCell ref="J71:K71"/>
    <mergeCell ref="J72:K72"/>
    <mergeCell ref="J73:K73"/>
    <mergeCell ref="J74:K74"/>
    <mergeCell ref="J75:K75"/>
    <mergeCell ref="J76:K76"/>
    <mergeCell ref="J77:K77"/>
  </mergeCells>
  <hyperlinks>
    <hyperlink ref="L4" location="Input!A1" display="Return to Input" xr:uid="{00000000-0004-0000-0E00-000000000000}"/>
  </hyperlinks>
  <printOptions horizontalCentered="1" verticalCentered="1"/>
  <pageMargins left="0.39370078740157483" right="0.39370078740157483" top="0" bottom="0" header="0.31496062992125984" footer="0.31496062992125984"/>
  <pageSetup scale="64" orientation="portrait" verticalDpi="4294967293"/>
  <rowBreaks count="1" manualBreakCount="1">
    <brk id="68" min="1" max="6"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pageSetUpPr fitToPage="1"/>
  </sheetPr>
  <dimension ref="A1:AB106"/>
  <sheetViews>
    <sheetView zoomScale="130" zoomScaleNormal="130" zoomScalePageLayoutView="130" workbookViewId="0">
      <selection activeCell="D44" sqref="D44"/>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6.14062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f>INPUT!D47</f>
        <v>17314000</v>
      </c>
      <c r="D9" s="281"/>
      <c r="L9" s="31"/>
      <c r="M9" s="31"/>
      <c r="N9" s="31"/>
    </row>
    <row r="10" spans="2:28" x14ac:dyDescent="0.2">
      <c r="B10" s="147" t="s">
        <v>62</v>
      </c>
      <c r="C10" s="176" t="s">
        <v>270</v>
      </c>
      <c r="D10" s="177"/>
      <c r="L10" s="31"/>
      <c r="M10" s="31"/>
      <c r="N10" s="31"/>
    </row>
    <row r="11" spans="2:28" x14ac:dyDescent="0.2">
      <c r="B11" s="147"/>
      <c r="C11" s="176" t="s">
        <v>271</v>
      </c>
      <c r="D11" s="177"/>
      <c r="L11" s="31"/>
      <c r="M11" s="31"/>
      <c r="N11" s="31"/>
    </row>
    <row r="12" spans="2:28" ht="15.75" thickBot="1" x14ac:dyDescent="0.25">
      <c r="B12" s="148"/>
      <c r="C12" s="272" t="s">
        <v>156</v>
      </c>
      <c r="D12" s="273"/>
      <c r="L12" s="33"/>
      <c r="M12" s="33"/>
      <c r="N12" s="33"/>
    </row>
    <row r="13" spans="2:28" x14ac:dyDescent="0.2">
      <c r="E13" s="33"/>
      <c r="F13" s="33"/>
      <c r="G13" s="33"/>
      <c r="H13" s="33"/>
      <c r="I13" s="33"/>
      <c r="J13" s="33"/>
      <c r="K13" s="33"/>
      <c r="L13" s="86" t="s">
        <v>150</v>
      </c>
      <c r="M13" s="87">
        <v>0.02</v>
      </c>
      <c r="N13" s="33"/>
    </row>
    <row r="14" spans="2:28" x14ac:dyDescent="0.2">
      <c r="B14" s="34" t="s">
        <v>64</v>
      </c>
      <c r="C14" s="34"/>
      <c r="E14" s="33"/>
      <c r="F14" s="33"/>
      <c r="G14" s="33"/>
      <c r="H14" s="33"/>
      <c r="I14" s="33"/>
      <c r="J14" s="33"/>
      <c r="K14" s="33"/>
      <c r="L14" s="33"/>
      <c r="M14" s="87">
        <v>0</v>
      </c>
      <c r="N14" s="33"/>
    </row>
    <row r="15" spans="2:28" x14ac:dyDescent="0.2">
      <c r="B15" s="35" t="s">
        <v>264</v>
      </c>
      <c r="C15" s="36"/>
      <c r="D15" s="42">
        <f>C9</f>
        <v>17314000</v>
      </c>
      <c r="E15" s="38" t="e">
        <f>#REF!</f>
        <v>#REF!</v>
      </c>
      <c r="F15" s="39" t="e">
        <f>D15-E15</f>
        <v>#REF!</v>
      </c>
      <c r="G15" s="39" t="e">
        <f>E15-F15</f>
        <v>#REF!</v>
      </c>
      <c r="H15" s="39" t="e">
        <f>F15-G15</f>
        <v>#REF!</v>
      </c>
      <c r="I15" s="33"/>
      <c r="J15" s="33"/>
      <c r="K15" s="95"/>
      <c r="L15" s="33"/>
      <c r="M15" s="33"/>
      <c r="N15" s="33"/>
      <c r="O15" s="33"/>
      <c r="P15" s="33"/>
      <c r="Q15" s="33"/>
      <c r="R15" s="33"/>
      <c r="S15" s="33"/>
      <c r="T15" s="31"/>
      <c r="U15" s="31"/>
      <c r="V15" s="31"/>
      <c r="W15" s="31"/>
      <c r="X15" s="31"/>
      <c r="Y15" s="31"/>
      <c r="Z15" s="31"/>
      <c r="AA15" s="31"/>
      <c r="AB15" s="31"/>
    </row>
    <row r="16" spans="2:28" hidden="1" x14ac:dyDescent="0.2">
      <c r="B16" s="115"/>
      <c r="C16" s="69"/>
      <c r="D16" s="42"/>
      <c r="E16" s="38"/>
      <c r="F16" s="39"/>
      <c r="G16" s="39"/>
      <c r="H16" s="39"/>
      <c r="I16" s="33"/>
      <c r="J16" s="33"/>
      <c r="K16" s="95"/>
      <c r="L16" s="33"/>
      <c r="M16" s="33"/>
      <c r="N16" s="33"/>
      <c r="O16" s="33"/>
      <c r="P16" s="33"/>
      <c r="Q16" s="33"/>
      <c r="R16" s="33"/>
      <c r="S16" s="33"/>
      <c r="T16" s="31"/>
      <c r="U16" s="31"/>
      <c r="V16" s="31"/>
      <c r="W16" s="31"/>
      <c r="X16" s="31"/>
      <c r="Y16" s="31"/>
      <c r="Z16" s="31"/>
      <c r="AA16" s="31"/>
      <c r="AB16" s="31"/>
    </row>
    <row r="17" spans="2:28" x14ac:dyDescent="0.2">
      <c r="B17" s="115">
        <f>IF(INPUT!$D$42="Repeat Buyer",Classic_Mem_Inst1!$L$13,Classic_Mem_Inst1!$L$14)</f>
        <v>0</v>
      </c>
      <c r="C17" s="97">
        <f>IF(B17=Classic_Mem_Inst1!$L$13,Classic_Mem_Inst1!$M$13,Classic_Mem_Inst1!$M$14)</f>
        <v>0</v>
      </c>
      <c r="D17" s="42">
        <f>(D15-D16)*C17</f>
        <v>0</v>
      </c>
      <c r="E17" s="38"/>
      <c r="F17" s="39"/>
      <c r="G17" s="39"/>
      <c r="H17" s="39"/>
      <c r="I17" s="33"/>
      <c r="J17" s="33"/>
      <c r="K17" s="95"/>
      <c r="L17" s="33"/>
      <c r="M17" s="33"/>
      <c r="N17" s="33"/>
      <c r="O17" s="33"/>
      <c r="P17" s="33"/>
      <c r="Q17" s="33"/>
      <c r="R17" s="33"/>
      <c r="S17" s="33"/>
      <c r="T17" s="31"/>
      <c r="U17" s="31"/>
      <c r="V17" s="31"/>
      <c r="W17" s="31"/>
      <c r="X17" s="31"/>
      <c r="Y17" s="31"/>
      <c r="Z17" s="31"/>
      <c r="AA17" s="31"/>
      <c r="AB17" s="31"/>
    </row>
    <row r="18" spans="2:28" hidden="1" x14ac:dyDescent="0.2">
      <c r="B18" s="115"/>
      <c r="C18" s="69"/>
      <c r="D18" s="42"/>
      <c r="E18" s="38"/>
      <c r="F18" s="39"/>
      <c r="G18" s="39"/>
      <c r="H18" s="39"/>
      <c r="I18" s="33"/>
      <c r="J18" s="33"/>
      <c r="K18" s="95"/>
      <c r="L18" s="33"/>
      <c r="M18" s="117"/>
      <c r="N18" s="33"/>
      <c r="O18" s="33"/>
      <c r="P18" s="33"/>
      <c r="Q18" s="33"/>
      <c r="R18" s="33"/>
      <c r="S18" s="33"/>
      <c r="T18" s="33"/>
      <c r="U18" s="33"/>
      <c r="V18" s="31"/>
      <c r="W18" s="31"/>
      <c r="X18" s="31"/>
      <c r="Y18" s="31"/>
      <c r="Z18" s="31"/>
      <c r="AA18" s="31"/>
      <c r="AB18" s="31"/>
    </row>
    <row r="19" spans="2:28" hidden="1" x14ac:dyDescent="0.2">
      <c r="B19" s="115"/>
      <c r="C19" s="69"/>
      <c r="D19" s="42"/>
      <c r="E19" s="38"/>
      <c r="F19" s="39"/>
      <c r="G19" s="39"/>
      <c r="H19" s="39"/>
      <c r="I19" s="33"/>
      <c r="J19" s="33"/>
      <c r="K19" s="95"/>
      <c r="L19" s="33"/>
      <c r="M19" s="33"/>
      <c r="N19" s="33"/>
      <c r="O19" s="33"/>
      <c r="P19" s="33"/>
      <c r="Q19" s="33"/>
      <c r="R19" s="33"/>
      <c r="S19" s="33"/>
      <c r="T19" s="33"/>
      <c r="U19" s="33"/>
      <c r="V19" s="31"/>
      <c r="W19" s="31"/>
      <c r="X19" s="31"/>
      <c r="Y19" s="31"/>
      <c r="Z19" s="31"/>
      <c r="AA19" s="31"/>
      <c r="AB19" s="31"/>
    </row>
    <row r="20" spans="2:28" hidden="1" x14ac:dyDescent="0.2">
      <c r="B20" s="114"/>
      <c r="C20" s="102"/>
      <c r="D20" s="112"/>
      <c r="E20" s="38"/>
      <c r="F20" s="39"/>
      <c r="G20" s="39"/>
      <c r="H20" s="39"/>
      <c r="I20" s="33"/>
      <c r="J20" s="33"/>
      <c r="K20" s="95"/>
      <c r="L20" s="33"/>
      <c r="M20" s="33"/>
      <c r="N20" s="33"/>
      <c r="O20" s="33"/>
      <c r="P20" s="31"/>
      <c r="Q20" s="33"/>
      <c r="R20" s="33"/>
      <c r="S20" s="33"/>
      <c r="T20" s="33"/>
      <c r="U20" s="33"/>
      <c r="V20" s="31"/>
      <c r="W20" s="31"/>
      <c r="X20" s="31"/>
      <c r="Y20" s="31"/>
      <c r="Z20" s="31"/>
      <c r="AA20" s="31"/>
      <c r="AB20" s="31"/>
    </row>
    <row r="21" spans="2:28" x14ac:dyDescent="0.2">
      <c r="B21" s="40" t="s">
        <v>68</v>
      </c>
      <c r="C21" s="97">
        <v>0.05</v>
      </c>
      <c r="D21" s="42">
        <f>((D15-D16-D18-D19-D20-D17)/1.12)*C21</f>
        <v>772946.42857142852</v>
      </c>
      <c r="E21" s="44"/>
      <c r="F21" s="39"/>
      <c r="G21" s="39"/>
      <c r="H21" s="39"/>
      <c r="I21" s="33"/>
      <c r="J21" s="33"/>
      <c r="K21" s="95"/>
      <c r="L21" s="33"/>
      <c r="M21" s="33"/>
      <c r="N21" s="33"/>
      <c r="O21" s="33"/>
      <c r="P21" s="33"/>
      <c r="Q21" s="33"/>
      <c r="R21" s="33"/>
      <c r="S21" s="33"/>
      <c r="T21" s="31"/>
      <c r="U21" s="31"/>
      <c r="V21" s="31"/>
      <c r="W21" s="31"/>
      <c r="X21" s="31"/>
      <c r="Y21" s="31"/>
      <c r="Z21" s="31"/>
      <c r="AA21" s="31"/>
      <c r="AB21" s="31"/>
    </row>
    <row r="22" spans="2:28" hidden="1" x14ac:dyDescent="0.2">
      <c r="B22" s="40"/>
      <c r="C22" s="97"/>
      <c r="D22" s="42"/>
      <c r="E22" s="44"/>
      <c r="F22" s="39"/>
      <c r="G22" s="39"/>
      <c r="H22" s="39"/>
      <c r="I22" s="33"/>
      <c r="J22" s="33"/>
      <c r="K22" s="95"/>
      <c r="L22" s="33"/>
      <c r="M22" s="33"/>
      <c r="N22" s="33"/>
      <c r="O22" s="33"/>
      <c r="P22" s="33"/>
      <c r="Q22" s="33"/>
      <c r="R22" s="33"/>
      <c r="S22" s="33"/>
      <c r="T22" s="31"/>
      <c r="U22" s="31"/>
      <c r="V22" s="31"/>
      <c r="W22" s="31"/>
      <c r="X22" s="31"/>
      <c r="Y22" s="31"/>
      <c r="Z22" s="31"/>
      <c r="AA22" s="31"/>
      <c r="AB22" s="31"/>
    </row>
    <row r="23" spans="2:28" ht="15.75" thickBot="1" x14ac:dyDescent="0.25">
      <c r="B23" s="45" t="s">
        <v>265</v>
      </c>
      <c r="C23" s="46"/>
      <c r="D23" s="47">
        <f>(D15-D16-D18-D19-D20-D17+D22+D21)</f>
        <v>18086946.428571429</v>
      </c>
      <c r="E23" s="38"/>
      <c r="F23" s="39"/>
      <c r="G23" s="39"/>
      <c r="H23" s="39"/>
      <c r="I23" s="33"/>
      <c r="J23" s="33"/>
      <c r="K23" s="95"/>
      <c r="L23" s="33"/>
      <c r="M23" s="33"/>
      <c r="N23" s="33"/>
      <c r="O23" s="33"/>
      <c r="P23" s="33"/>
      <c r="Q23" s="33"/>
      <c r="R23" s="33"/>
      <c r="S23" s="33"/>
      <c r="T23" s="31"/>
      <c r="U23" s="31"/>
      <c r="V23" s="31"/>
      <c r="W23" s="31"/>
      <c r="X23" s="31"/>
      <c r="Y23" s="31"/>
      <c r="Z23" s="31"/>
      <c r="AA23" s="31"/>
      <c r="AB23" s="31"/>
    </row>
    <row r="24" spans="2:28" ht="16.5" thickTop="1" thickBot="1" x14ac:dyDescent="0.25"/>
    <row r="25" spans="2:28" ht="15.75" thickBot="1" x14ac:dyDescent="0.25">
      <c r="B25" s="274" t="s">
        <v>70</v>
      </c>
      <c r="C25" s="275"/>
      <c r="D25" s="78" t="s">
        <v>71</v>
      </c>
      <c r="E25" s="78" t="s">
        <v>72</v>
      </c>
      <c r="F25" s="78" t="s">
        <v>73</v>
      </c>
      <c r="G25" s="78" t="s">
        <v>74</v>
      </c>
      <c r="H25" s="78" t="s">
        <v>75</v>
      </c>
      <c r="I25" s="79" t="s">
        <v>76</v>
      </c>
      <c r="J25" s="33"/>
      <c r="K25" s="33"/>
      <c r="L25" s="33"/>
      <c r="M25" s="33"/>
      <c r="N25" s="33"/>
    </row>
    <row r="26" spans="2:28" x14ac:dyDescent="0.2">
      <c r="B26" s="302">
        <v>0</v>
      </c>
      <c r="C26" s="303"/>
      <c r="D26" s="50">
        <f ca="1">INPUT!D48</f>
        <v>45360</v>
      </c>
      <c r="E26" s="153" t="s">
        <v>77</v>
      </c>
      <c r="F26" s="51">
        <v>50000</v>
      </c>
      <c r="G26" s="51"/>
      <c r="H26" s="51">
        <f>SUM(F26:G26)</f>
        <v>50000</v>
      </c>
      <c r="I26" s="52">
        <f>D23-H26</f>
        <v>18036946.428571429</v>
      </c>
      <c r="J26" s="53" t="s">
        <v>78</v>
      </c>
      <c r="K26" s="33"/>
      <c r="L26" s="38">
        <v>56000</v>
      </c>
      <c r="M26" s="39">
        <f>L26-F26</f>
        <v>6000</v>
      </c>
      <c r="N26" s="33"/>
    </row>
    <row r="27" spans="2:28" hidden="1" x14ac:dyDescent="0.2">
      <c r="B27" s="290"/>
      <c r="C27" s="265"/>
      <c r="D27" s="70">
        <v>44948</v>
      </c>
      <c r="E27" s="74" t="s">
        <v>79</v>
      </c>
      <c r="F27" s="75"/>
      <c r="G27" s="75"/>
      <c r="H27" s="75">
        <v>0</v>
      </c>
      <c r="I27" s="76">
        <f>I26-H27</f>
        <v>18036946.428571429</v>
      </c>
      <c r="J27" s="53"/>
      <c r="K27" s="33"/>
      <c r="L27" s="38"/>
      <c r="M27" s="39"/>
      <c r="N27" s="33"/>
    </row>
    <row r="28" spans="2:28" x14ac:dyDescent="0.2">
      <c r="B28" s="290">
        <f>B27+1</f>
        <v>1</v>
      </c>
      <c r="C28" s="265"/>
      <c r="D28" s="70">
        <f ca="1">EDATE(D26,1)</f>
        <v>45391</v>
      </c>
      <c r="E28" s="150" t="s">
        <v>157</v>
      </c>
      <c r="F28" s="71">
        <f>ROUND((((D23-D21)*20%)-F26),2)/3</f>
        <v>1137600</v>
      </c>
      <c r="G28" s="71">
        <f>ROUND(((D21*20%)-G26),3)/3</f>
        <v>51529.761999999995</v>
      </c>
      <c r="H28" s="71">
        <f>SUM(F28:G28)</f>
        <v>1189129.7620000001</v>
      </c>
      <c r="I28" s="76">
        <f>I27-H28</f>
        <v>16847816.666571431</v>
      </c>
      <c r="J28" s="53"/>
      <c r="K28" s="33"/>
      <c r="L28" s="38"/>
      <c r="M28" s="39"/>
      <c r="N28" s="33"/>
    </row>
    <row r="29" spans="2:28" x14ac:dyDescent="0.2">
      <c r="B29" s="290">
        <f t="shared" ref="B29:B67" si="0">B28+1</f>
        <v>2</v>
      </c>
      <c r="C29" s="265"/>
      <c r="D29" s="70">
        <f ca="1">EDATE(D28,1)</f>
        <v>45421</v>
      </c>
      <c r="E29" s="203" t="s">
        <v>158</v>
      </c>
      <c r="F29" s="71">
        <f>F28</f>
        <v>1137600</v>
      </c>
      <c r="G29" s="71">
        <f>G28</f>
        <v>51529.761999999995</v>
      </c>
      <c r="H29" s="71">
        <f>SUM(F29:G29)</f>
        <v>1189129.7620000001</v>
      </c>
      <c r="I29" s="72">
        <f>I28-H29</f>
        <v>15658686.904571431</v>
      </c>
      <c r="J29" s="53"/>
      <c r="K29" s="33"/>
      <c r="L29" s="38"/>
      <c r="M29" s="39"/>
      <c r="N29" s="33"/>
    </row>
    <row r="30" spans="2:28" x14ac:dyDescent="0.2">
      <c r="B30" s="290">
        <f t="shared" si="0"/>
        <v>3</v>
      </c>
      <c r="C30" s="265"/>
      <c r="D30" s="70">
        <f t="shared" ref="D30:D67" ca="1" si="1">EDATE(D29,1)</f>
        <v>45452</v>
      </c>
      <c r="E30" s="203" t="s">
        <v>159</v>
      </c>
      <c r="F30" s="71">
        <f>F29</f>
        <v>1137600</v>
      </c>
      <c r="G30" s="71">
        <f>G29</f>
        <v>51529.761999999995</v>
      </c>
      <c r="H30" s="71">
        <f t="shared" ref="H30:H67" si="2">SUM(F30:G30)</f>
        <v>1189129.7620000001</v>
      </c>
      <c r="I30" s="72">
        <f t="shared" ref="I30:I67" si="3">I29-H30</f>
        <v>14469557.142571431</v>
      </c>
      <c r="J30" s="53"/>
      <c r="K30" s="33"/>
      <c r="L30" s="38"/>
      <c r="M30" s="39"/>
      <c r="N30" s="33"/>
    </row>
    <row r="31" spans="2:28" x14ac:dyDescent="0.2">
      <c r="B31" s="290">
        <f t="shared" si="0"/>
        <v>4</v>
      </c>
      <c r="C31" s="265"/>
      <c r="D31" s="70">
        <f t="shared" ca="1" si="1"/>
        <v>45482</v>
      </c>
      <c r="E31" s="150" t="s">
        <v>160</v>
      </c>
      <c r="F31" s="71">
        <f>((((D23-D21)*30%)/36))</f>
        <v>144283.33333333334</v>
      </c>
      <c r="G31" s="71">
        <f>((D21*30%)/36)</f>
        <v>6441.2202380952376</v>
      </c>
      <c r="H31" s="71">
        <f>SUM(F31:G31)</f>
        <v>150724.55357142858</v>
      </c>
      <c r="I31" s="72">
        <f t="shared" si="3"/>
        <v>14318832.589000002</v>
      </c>
      <c r="J31" s="53"/>
      <c r="K31" s="33"/>
      <c r="L31" s="38"/>
      <c r="M31" s="39"/>
      <c r="N31" s="33"/>
    </row>
    <row r="32" spans="2:28" x14ac:dyDescent="0.2">
      <c r="B32" s="290">
        <f t="shared" si="0"/>
        <v>5</v>
      </c>
      <c r="C32" s="265"/>
      <c r="D32" s="70">
        <f t="shared" ca="1" si="1"/>
        <v>45513</v>
      </c>
      <c r="E32" s="203" t="s">
        <v>161</v>
      </c>
      <c r="F32" s="71">
        <f t="shared" ref="F32:G46" si="4">F31</f>
        <v>144283.33333333334</v>
      </c>
      <c r="G32" s="71">
        <f t="shared" si="4"/>
        <v>6441.2202380952376</v>
      </c>
      <c r="H32" s="71">
        <f t="shared" si="2"/>
        <v>150724.55357142858</v>
      </c>
      <c r="I32" s="72">
        <f t="shared" si="3"/>
        <v>14168108.035428572</v>
      </c>
      <c r="J32" s="53"/>
      <c r="K32" s="33"/>
      <c r="L32" s="38"/>
      <c r="M32" s="39"/>
      <c r="N32" s="33"/>
    </row>
    <row r="33" spans="2:14" x14ac:dyDescent="0.2">
      <c r="B33" s="290">
        <f t="shared" si="0"/>
        <v>6</v>
      </c>
      <c r="C33" s="265"/>
      <c r="D33" s="70">
        <f t="shared" ca="1" si="1"/>
        <v>45544</v>
      </c>
      <c r="E33" s="203" t="s">
        <v>162</v>
      </c>
      <c r="F33" s="71">
        <f t="shared" si="4"/>
        <v>144283.33333333334</v>
      </c>
      <c r="G33" s="71">
        <f t="shared" si="4"/>
        <v>6441.2202380952376</v>
      </c>
      <c r="H33" s="71">
        <f t="shared" si="2"/>
        <v>150724.55357142858</v>
      </c>
      <c r="I33" s="72">
        <f t="shared" si="3"/>
        <v>14017383.481857143</v>
      </c>
      <c r="J33" s="53"/>
      <c r="K33" s="33"/>
      <c r="L33" s="38"/>
      <c r="M33" s="39"/>
      <c r="N33" s="33"/>
    </row>
    <row r="34" spans="2:14" x14ac:dyDescent="0.2">
      <c r="B34" s="290">
        <f t="shared" si="0"/>
        <v>7</v>
      </c>
      <c r="C34" s="265"/>
      <c r="D34" s="70">
        <f t="shared" ca="1" si="1"/>
        <v>45574</v>
      </c>
      <c r="E34" s="203" t="s">
        <v>163</v>
      </c>
      <c r="F34" s="71">
        <f t="shared" si="4"/>
        <v>144283.33333333334</v>
      </c>
      <c r="G34" s="71">
        <f t="shared" si="4"/>
        <v>6441.2202380952376</v>
      </c>
      <c r="H34" s="71">
        <f t="shared" si="2"/>
        <v>150724.55357142858</v>
      </c>
      <c r="I34" s="72">
        <f t="shared" si="3"/>
        <v>13866658.928285714</v>
      </c>
      <c r="J34" s="53"/>
      <c r="K34" s="33"/>
      <c r="L34" s="38"/>
      <c r="M34" s="39"/>
      <c r="N34" s="33"/>
    </row>
    <row r="35" spans="2:14" x14ac:dyDescent="0.2">
      <c r="B35" s="290">
        <f t="shared" si="0"/>
        <v>8</v>
      </c>
      <c r="C35" s="265"/>
      <c r="D35" s="70">
        <f t="shared" ca="1" si="1"/>
        <v>45605</v>
      </c>
      <c r="E35" s="203" t="s">
        <v>164</v>
      </c>
      <c r="F35" s="71">
        <f t="shared" si="4"/>
        <v>144283.33333333334</v>
      </c>
      <c r="G35" s="71">
        <f t="shared" si="4"/>
        <v>6441.2202380952376</v>
      </c>
      <c r="H35" s="71">
        <f t="shared" si="2"/>
        <v>150724.55357142858</v>
      </c>
      <c r="I35" s="72">
        <f t="shared" si="3"/>
        <v>13715934.374714285</v>
      </c>
      <c r="J35" s="53"/>
      <c r="K35" s="33"/>
      <c r="L35" s="38"/>
      <c r="M35" s="39"/>
      <c r="N35" s="33"/>
    </row>
    <row r="36" spans="2:14" x14ac:dyDescent="0.2">
      <c r="B36" s="290">
        <f t="shared" si="0"/>
        <v>9</v>
      </c>
      <c r="C36" s="265"/>
      <c r="D36" s="70">
        <f t="shared" ca="1" si="1"/>
        <v>45635</v>
      </c>
      <c r="E36" s="203" t="s">
        <v>165</v>
      </c>
      <c r="F36" s="71">
        <f t="shared" si="4"/>
        <v>144283.33333333334</v>
      </c>
      <c r="G36" s="71">
        <f t="shared" si="4"/>
        <v>6441.2202380952376</v>
      </c>
      <c r="H36" s="71">
        <f t="shared" si="2"/>
        <v>150724.55357142858</v>
      </c>
      <c r="I36" s="72">
        <f t="shared" si="3"/>
        <v>13565209.821142856</v>
      </c>
      <c r="J36" s="53"/>
      <c r="K36" s="33"/>
      <c r="L36" s="38"/>
      <c r="M36" s="39"/>
      <c r="N36" s="33"/>
    </row>
    <row r="37" spans="2:14" x14ac:dyDescent="0.2">
      <c r="B37" s="290">
        <f t="shared" si="0"/>
        <v>10</v>
      </c>
      <c r="C37" s="265"/>
      <c r="D37" s="70">
        <f t="shared" ca="1" si="1"/>
        <v>45666</v>
      </c>
      <c r="E37" s="203" t="s">
        <v>166</v>
      </c>
      <c r="F37" s="71">
        <f t="shared" si="4"/>
        <v>144283.33333333334</v>
      </c>
      <c r="G37" s="71">
        <f t="shared" si="4"/>
        <v>6441.2202380952376</v>
      </c>
      <c r="H37" s="71">
        <f t="shared" si="2"/>
        <v>150724.55357142858</v>
      </c>
      <c r="I37" s="72">
        <f t="shared" si="3"/>
        <v>13414485.267571427</v>
      </c>
      <c r="J37" s="53"/>
      <c r="K37" s="33"/>
      <c r="L37" s="38"/>
      <c r="M37" s="39"/>
      <c r="N37" s="33"/>
    </row>
    <row r="38" spans="2:14" x14ac:dyDescent="0.2">
      <c r="B38" s="290">
        <f t="shared" si="0"/>
        <v>11</v>
      </c>
      <c r="C38" s="265"/>
      <c r="D38" s="70">
        <f t="shared" ca="1" si="1"/>
        <v>45697</v>
      </c>
      <c r="E38" s="203" t="s">
        <v>167</v>
      </c>
      <c r="F38" s="71">
        <f t="shared" si="4"/>
        <v>144283.33333333334</v>
      </c>
      <c r="G38" s="71">
        <f t="shared" si="4"/>
        <v>6441.2202380952376</v>
      </c>
      <c r="H38" s="71">
        <f t="shared" si="2"/>
        <v>150724.55357142858</v>
      </c>
      <c r="I38" s="72">
        <f t="shared" si="3"/>
        <v>13263760.713999998</v>
      </c>
      <c r="J38" s="53"/>
      <c r="K38" s="33"/>
      <c r="L38" s="38"/>
      <c r="M38" s="39"/>
      <c r="N38" s="33"/>
    </row>
    <row r="39" spans="2:14" x14ac:dyDescent="0.2">
      <c r="B39" s="290">
        <f t="shared" si="0"/>
        <v>12</v>
      </c>
      <c r="C39" s="265"/>
      <c r="D39" s="70">
        <f t="shared" ca="1" si="1"/>
        <v>45725</v>
      </c>
      <c r="E39" s="203" t="s">
        <v>168</v>
      </c>
      <c r="F39" s="71">
        <f t="shared" si="4"/>
        <v>144283.33333333334</v>
      </c>
      <c r="G39" s="71">
        <f t="shared" si="4"/>
        <v>6441.2202380952376</v>
      </c>
      <c r="H39" s="71">
        <f t="shared" si="2"/>
        <v>150724.55357142858</v>
      </c>
      <c r="I39" s="72">
        <f t="shared" si="3"/>
        <v>13113036.160428569</v>
      </c>
      <c r="J39" s="53"/>
      <c r="K39" s="33"/>
      <c r="L39" s="38"/>
      <c r="M39" s="39"/>
      <c r="N39" s="33"/>
    </row>
    <row r="40" spans="2:14" x14ac:dyDescent="0.2">
      <c r="B40" s="290">
        <f t="shared" si="0"/>
        <v>13</v>
      </c>
      <c r="C40" s="265"/>
      <c r="D40" s="70">
        <f t="shared" ca="1" si="1"/>
        <v>45756</v>
      </c>
      <c r="E40" s="203" t="s">
        <v>169</v>
      </c>
      <c r="F40" s="71">
        <f t="shared" si="4"/>
        <v>144283.33333333334</v>
      </c>
      <c r="G40" s="71">
        <f t="shared" si="4"/>
        <v>6441.2202380952376</v>
      </c>
      <c r="H40" s="71">
        <f t="shared" si="2"/>
        <v>150724.55357142858</v>
      </c>
      <c r="I40" s="72">
        <f t="shared" si="3"/>
        <v>12962311.60685714</v>
      </c>
      <c r="J40" s="53"/>
      <c r="K40" s="33"/>
      <c r="L40" s="38"/>
      <c r="M40" s="39"/>
      <c r="N40" s="33"/>
    </row>
    <row r="41" spans="2:14" x14ac:dyDescent="0.2">
      <c r="B41" s="290">
        <f t="shared" si="0"/>
        <v>14</v>
      </c>
      <c r="C41" s="265"/>
      <c r="D41" s="70">
        <f t="shared" ca="1" si="1"/>
        <v>45786</v>
      </c>
      <c r="E41" s="203" t="s">
        <v>170</v>
      </c>
      <c r="F41" s="71">
        <f t="shared" si="4"/>
        <v>144283.33333333334</v>
      </c>
      <c r="G41" s="71">
        <f t="shared" si="4"/>
        <v>6441.2202380952376</v>
      </c>
      <c r="H41" s="71">
        <f t="shared" si="2"/>
        <v>150724.55357142858</v>
      </c>
      <c r="I41" s="72">
        <f t="shared" si="3"/>
        <v>12811587.053285711</v>
      </c>
      <c r="J41" s="53"/>
      <c r="K41" s="33"/>
      <c r="L41" s="38"/>
      <c r="M41" s="39"/>
      <c r="N41" s="33"/>
    </row>
    <row r="42" spans="2:14" x14ac:dyDescent="0.2">
      <c r="B42" s="290">
        <f t="shared" si="0"/>
        <v>15</v>
      </c>
      <c r="C42" s="265"/>
      <c r="D42" s="70">
        <f t="shared" ca="1" si="1"/>
        <v>45817</v>
      </c>
      <c r="E42" s="203" t="s">
        <v>171</v>
      </c>
      <c r="F42" s="71">
        <f t="shared" si="4"/>
        <v>144283.33333333334</v>
      </c>
      <c r="G42" s="71">
        <f t="shared" si="4"/>
        <v>6441.2202380952376</v>
      </c>
      <c r="H42" s="71">
        <f t="shared" si="2"/>
        <v>150724.55357142858</v>
      </c>
      <c r="I42" s="72">
        <f t="shared" si="3"/>
        <v>12660862.499714281</v>
      </c>
      <c r="J42" s="53"/>
      <c r="K42" s="33"/>
      <c r="L42" s="38"/>
      <c r="M42" s="39"/>
      <c r="N42" s="33"/>
    </row>
    <row r="43" spans="2:14" x14ac:dyDescent="0.2">
      <c r="B43" s="290">
        <f t="shared" si="0"/>
        <v>16</v>
      </c>
      <c r="C43" s="265"/>
      <c r="D43" s="70">
        <f t="shared" ca="1" si="1"/>
        <v>45847</v>
      </c>
      <c r="E43" s="203" t="s">
        <v>172</v>
      </c>
      <c r="F43" s="71">
        <f t="shared" si="4"/>
        <v>144283.33333333334</v>
      </c>
      <c r="G43" s="71">
        <f t="shared" si="4"/>
        <v>6441.2202380952376</v>
      </c>
      <c r="H43" s="71">
        <f t="shared" si="2"/>
        <v>150724.55357142858</v>
      </c>
      <c r="I43" s="72">
        <f t="shared" si="3"/>
        <v>12510137.946142852</v>
      </c>
      <c r="J43" s="53"/>
      <c r="K43" s="33"/>
      <c r="L43" s="38"/>
      <c r="M43" s="39"/>
      <c r="N43" s="33"/>
    </row>
    <row r="44" spans="2:14" x14ac:dyDescent="0.2">
      <c r="B44" s="290">
        <f t="shared" si="0"/>
        <v>17</v>
      </c>
      <c r="C44" s="265"/>
      <c r="D44" s="70">
        <f t="shared" ca="1" si="1"/>
        <v>45878</v>
      </c>
      <c r="E44" s="203" t="s">
        <v>173</v>
      </c>
      <c r="F44" s="71">
        <f t="shared" si="4"/>
        <v>144283.33333333334</v>
      </c>
      <c r="G44" s="71">
        <f t="shared" si="4"/>
        <v>6441.2202380952376</v>
      </c>
      <c r="H44" s="71">
        <f t="shared" si="2"/>
        <v>150724.55357142858</v>
      </c>
      <c r="I44" s="72">
        <f t="shared" si="3"/>
        <v>12359413.392571423</v>
      </c>
      <c r="J44" s="53"/>
      <c r="K44" s="33"/>
      <c r="L44" s="38"/>
      <c r="M44" s="39"/>
      <c r="N44" s="33"/>
    </row>
    <row r="45" spans="2:14" x14ac:dyDescent="0.2">
      <c r="B45" s="290">
        <f t="shared" si="0"/>
        <v>18</v>
      </c>
      <c r="C45" s="265"/>
      <c r="D45" s="70">
        <f t="shared" ca="1" si="1"/>
        <v>45909</v>
      </c>
      <c r="E45" s="203" t="s">
        <v>174</v>
      </c>
      <c r="F45" s="71">
        <f t="shared" si="4"/>
        <v>144283.33333333334</v>
      </c>
      <c r="G45" s="71">
        <f t="shared" si="4"/>
        <v>6441.2202380952376</v>
      </c>
      <c r="H45" s="71">
        <f t="shared" si="2"/>
        <v>150724.55357142858</v>
      </c>
      <c r="I45" s="72">
        <f t="shared" si="3"/>
        <v>12208688.838999994</v>
      </c>
      <c r="J45" s="53"/>
      <c r="K45" s="33"/>
      <c r="L45" s="38"/>
      <c r="M45" s="39"/>
      <c r="N45" s="33"/>
    </row>
    <row r="46" spans="2:14" x14ac:dyDescent="0.2">
      <c r="B46" s="290">
        <f t="shared" si="0"/>
        <v>19</v>
      </c>
      <c r="C46" s="265"/>
      <c r="D46" s="70">
        <f t="shared" ca="1" si="1"/>
        <v>45939</v>
      </c>
      <c r="E46" s="203" t="s">
        <v>175</v>
      </c>
      <c r="F46" s="71">
        <f t="shared" si="4"/>
        <v>144283.33333333334</v>
      </c>
      <c r="G46" s="71">
        <f t="shared" si="4"/>
        <v>6441.2202380952376</v>
      </c>
      <c r="H46" s="71">
        <f t="shared" si="2"/>
        <v>150724.55357142858</v>
      </c>
      <c r="I46" s="72">
        <f t="shared" si="3"/>
        <v>12057964.285428565</v>
      </c>
      <c r="J46" s="53"/>
      <c r="K46" s="33"/>
      <c r="L46" s="38"/>
      <c r="M46" s="39"/>
      <c r="N46" s="33"/>
    </row>
    <row r="47" spans="2:14" x14ac:dyDescent="0.2">
      <c r="B47" s="290">
        <f t="shared" si="0"/>
        <v>20</v>
      </c>
      <c r="C47" s="265"/>
      <c r="D47" s="70">
        <f t="shared" ca="1" si="1"/>
        <v>45970</v>
      </c>
      <c r="E47" s="203" t="s">
        <v>176</v>
      </c>
      <c r="F47" s="71">
        <f t="shared" ref="F47:G62" si="5">F46</f>
        <v>144283.33333333334</v>
      </c>
      <c r="G47" s="71">
        <f t="shared" si="5"/>
        <v>6441.2202380952376</v>
      </c>
      <c r="H47" s="71">
        <f t="shared" si="2"/>
        <v>150724.55357142858</v>
      </c>
      <c r="I47" s="72">
        <f t="shared" si="3"/>
        <v>11907239.731857136</v>
      </c>
      <c r="J47" s="53"/>
      <c r="K47" s="33"/>
      <c r="L47" s="38"/>
      <c r="M47" s="39"/>
      <c r="N47" s="33"/>
    </row>
    <row r="48" spans="2:14" x14ac:dyDescent="0.2">
      <c r="B48" s="290">
        <f t="shared" si="0"/>
        <v>21</v>
      </c>
      <c r="C48" s="265"/>
      <c r="D48" s="70">
        <f t="shared" ca="1" si="1"/>
        <v>46000</v>
      </c>
      <c r="E48" s="203" t="s">
        <v>177</v>
      </c>
      <c r="F48" s="71">
        <f t="shared" si="5"/>
        <v>144283.33333333334</v>
      </c>
      <c r="G48" s="71">
        <f t="shared" si="5"/>
        <v>6441.2202380952376</v>
      </c>
      <c r="H48" s="71">
        <f t="shared" si="2"/>
        <v>150724.55357142858</v>
      </c>
      <c r="I48" s="72">
        <f t="shared" si="3"/>
        <v>11756515.178285707</v>
      </c>
      <c r="J48" s="53"/>
      <c r="K48" s="33"/>
      <c r="L48" s="38"/>
      <c r="M48" s="39"/>
      <c r="N48" s="33"/>
    </row>
    <row r="49" spans="2:14" x14ac:dyDescent="0.2">
      <c r="B49" s="290">
        <f t="shared" si="0"/>
        <v>22</v>
      </c>
      <c r="C49" s="265"/>
      <c r="D49" s="70">
        <f t="shared" ca="1" si="1"/>
        <v>46031</v>
      </c>
      <c r="E49" s="203" t="s">
        <v>178</v>
      </c>
      <c r="F49" s="71">
        <f t="shared" si="5"/>
        <v>144283.33333333334</v>
      </c>
      <c r="G49" s="71">
        <f t="shared" si="5"/>
        <v>6441.2202380952376</v>
      </c>
      <c r="H49" s="71">
        <f t="shared" si="2"/>
        <v>150724.55357142858</v>
      </c>
      <c r="I49" s="72">
        <f t="shared" si="3"/>
        <v>11605790.624714278</v>
      </c>
      <c r="J49" s="53"/>
      <c r="K49" s="33"/>
      <c r="L49" s="38"/>
      <c r="M49" s="39"/>
      <c r="N49" s="33"/>
    </row>
    <row r="50" spans="2:14" x14ac:dyDescent="0.2">
      <c r="B50" s="290">
        <f t="shared" si="0"/>
        <v>23</v>
      </c>
      <c r="C50" s="265"/>
      <c r="D50" s="70">
        <f t="shared" ca="1" si="1"/>
        <v>46062</v>
      </c>
      <c r="E50" s="203" t="s">
        <v>179</v>
      </c>
      <c r="F50" s="71">
        <f t="shared" si="5"/>
        <v>144283.33333333334</v>
      </c>
      <c r="G50" s="71">
        <f t="shared" si="5"/>
        <v>6441.2202380952376</v>
      </c>
      <c r="H50" s="71">
        <f t="shared" si="2"/>
        <v>150724.55357142858</v>
      </c>
      <c r="I50" s="72">
        <f t="shared" si="3"/>
        <v>11455066.071142849</v>
      </c>
      <c r="J50" s="53"/>
      <c r="K50" s="33"/>
      <c r="L50" s="38"/>
      <c r="M50" s="39"/>
      <c r="N50" s="33"/>
    </row>
    <row r="51" spans="2:14" x14ac:dyDescent="0.2">
      <c r="B51" s="290">
        <f t="shared" si="0"/>
        <v>24</v>
      </c>
      <c r="C51" s="265"/>
      <c r="D51" s="70">
        <f t="shared" ca="1" si="1"/>
        <v>46090</v>
      </c>
      <c r="E51" s="203" t="s">
        <v>180</v>
      </c>
      <c r="F51" s="71">
        <f t="shared" si="5"/>
        <v>144283.33333333334</v>
      </c>
      <c r="G51" s="71">
        <f t="shared" si="5"/>
        <v>6441.2202380952376</v>
      </c>
      <c r="H51" s="71">
        <f t="shared" si="2"/>
        <v>150724.55357142858</v>
      </c>
      <c r="I51" s="72">
        <f t="shared" si="3"/>
        <v>11304341.517571419</v>
      </c>
      <c r="J51" s="53"/>
      <c r="K51" s="33"/>
      <c r="L51" s="38"/>
      <c r="M51" s="39"/>
      <c r="N51" s="33"/>
    </row>
    <row r="52" spans="2:14" x14ac:dyDescent="0.2">
      <c r="B52" s="290">
        <f t="shared" si="0"/>
        <v>25</v>
      </c>
      <c r="C52" s="265"/>
      <c r="D52" s="70">
        <f t="shared" ca="1" si="1"/>
        <v>46121</v>
      </c>
      <c r="E52" s="203" t="s">
        <v>181</v>
      </c>
      <c r="F52" s="71">
        <f t="shared" si="5"/>
        <v>144283.33333333334</v>
      </c>
      <c r="G52" s="71">
        <f t="shared" si="5"/>
        <v>6441.2202380952376</v>
      </c>
      <c r="H52" s="71">
        <f t="shared" si="2"/>
        <v>150724.55357142858</v>
      </c>
      <c r="I52" s="72">
        <f t="shared" si="3"/>
        <v>11153616.96399999</v>
      </c>
      <c r="J52" s="53"/>
      <c r="K52" s="33"/>
      <c r="L52" s="38"/>
      <c r="M52" s="39"/>
      <c r="N52" s="33"/>
    </row>
    <row r="53" spans="2:14" x14ac:dyDescent="0.2">
      <c r="B53" s="290">
        <f t="shared" si="0"/>
        <v>26</v>
      </c>
      <c r="C53" s="265"/>
      <c r="D53" s="70">
        <f t="shared" ca="1" si="1"/>
        <v>46151</v>
      </c>
      <c r="E53" s="203" t="s">
        <v>182</v>
      </c>
      <c r="F53" s="71">
        <f t="shared" si="5"/>
        <v>144283.33333333334</v>
      </c>
      <c r="G53" s="71">
        <f t="shared" si="5"/>
        <v>6441.2202380952376</v>
      </c>
      <c r="H53" s="71">
        <f t="shared" si="2"/>
        <v>150724.55357142858</v>
      </c>
      <c r="I53" s="72">
        <f t="shared" si="3"/>
        <v>11002892.410428561</v>
      </c>
      <c r="J53" s="53"/>
      <c r="K53" s="33"/>
      <c r="L53" s="38"/>
      <c r="M53" s="39"/>
      <c r="N53" s="33"/>
    </row>
    <row r="54" spans="2:14" x14ac:dyDescent="0.2">
      <c r="B54" s="290">
        <f t="shared" si="0"/>
        <v>27</v>
      </c>
      <c r="C54" s="265"/>
      <c r="D54" s="70">
        <f t="shared" ca="1" si="1"/>
        <v>46182</v>
      </c>
      <c r="E54" s="203" t="s">
        <v>183</v>
      </c>
      <c r="F54" s="71">
        <f t="shared" si="5"/>
        <v>144283.33333333334</v>
      </c>
      <c r="G54" s="71">
        <f t="shared" si="5"/>
        <v>6441.2202380952376</v>
      </c>
      <c r="H54" s="71">
        <f t="shared" si="2"/>
        <v>150724.55357142858</v>
      </c>
      <c r="I54" s="72">
        <f t="shared" si="3"/>
        <v>10852167.856857132</v>
      </c>
      <c r="J54" s="53"/>
      <c r="K54" s="33"/>
      <c r="L54" s="38"/>
      <c r="M54" s="39"/>
      <c r="N54" s="33"/>
    </row>
    <row r="55" spans="2:14" x14ac:dyDescent="0.2">
      <c r="B55" s="290">
        <f t="shared" si="0"/>
        <v>28</v>
      </c>
      <c r="C55" s="265"/>
      <c r="D55" s="70">
        <f t="shared" ca="1" si="1"/>
        <v>46212</v>
      </c>
      <c r="E55" s="203" t="s">
        <v>184</v>
      </c>
      <c r="F55" s="71">
        <f t="shared" si="5"/>
        <v>144283.33333333334</v>
      </c>
      <c r="G55" s="71">
        <f t="shared" si="5"/>
        <v>6441.2202380952376</v>
      </c>
      <c r="H55" s="71">
        <f t="shared" si="2"/>
        <v>150724.55357142858</v>
      </c>
      <c r="I55" s="72">
        <f t="shared" si="3"/>
        <v>10701443.303285703</v>
      </c>
      <c r="J55" s="53"/>
      <c r="K55" s="33"/>
      <c r="L55" s="38"/>
      <c r="M55" s="39"/>
      <c r="N55" s="33"/>
    </row>
    <row r="56" spans="2:14" x14ac:dyDescent="0.2">
      <c r="B56" s="290">
        <f t="shared" si="0"/>
        <v>29</v>
      </c>
      <c r="C56" s="265"/>
      <c r="D56" s="70">
        <f t="shared" ca="1" si="1"/>
        <v>46243</v>
      </c>
      <c r="E56" s="203" t="s">
        <v>185</v>
      </c>
      <c r="F56" s="71">
        <f t="shared" si="5"/>
        <v>144283.33333333334</v>
      </c>
      <c r="G56" s="71">
        <f t="shared" si="5"/>
        <v>6441.2202380952376</v>
      </c>
      <c r="H56" s="71">
        <f t="shared" si="2"/>
        <v>150724.55357142858</v>
      </c>
      <c r="I56" s="72">
        <f t="shared" si="3"/>
        <v>10550718.749714274</v>
      </c>
      <c r="J56" s="53"/>
      <c r="K56" s="33"/>
      <c r="L56" s="38"/>
      <c r="M56" s="39"/>
      <c r="N56" s="33"/>
    </row>
    <row r="57" spans="2:14" x14ac:dyDescent="0.2">
      <c r="B57" s="290">
        <f t="shared" si="0"/>
        <v>30</v>
      </c>
      <c r="C57" s="265"/>
      <c r="D57" s="70">
        <f t="shared" ca="1" si="1"/>
        <v>46274</v>
      </c>
      <c r="E57" s="203" t="s">
        <v>186</v>
      </c>
      <c r="F57" s="71">
        <f t="shared" si="5"/>
        <v>144283.33333333334</v>
      </c>
      <c r="G57" s="71">
        <f t="shared" si="5"/>
        <v>6441.2202380952376</v>
      </c>
      <c r="H57" s="71">
        <f t="shared" si="2"/>
        <v>150724.55357142858</v>
      </c>
      <c r="I57" s="72">
        <f t="shared" si="3"/>
        <v>10399994.196142845</v>
      </c>
      <c r="J57" s="53"/>
      <c r="K57" s="33"/>
      <c r="L57" s="38"/>
      <c r="M57" s="39"/>
      <c r="N57" s="33"/>
    </row>
    <row r="58" spans="2:14" x14ac:dyDescent="0.2">
      <c r="B58" s="290">
        <f t="shared" si="0"/>
        <v>31</v>
      </c>
      <c r="C58" s="265"/>
      <c r="D58" s="70">
        <f t="shared" ca="1" si="1"/>
        <v>46304</v>
      </c>
      <c r="E58" s="203" t="s">
        <v>187</v>
      </c>
      <c r="F58" s="71">
        <f t="shared" si="5"/>
        <v>144283.33333333334</v>
      </c>
      <c r="G58" s="71">
        <f t="shared" si="5"/>
        <v>6441.2202380952376</v>
      </c>
      <c r="H58" s="71">
        <f t="shared" si="2"/>
        <v>150724.55357142858</v>
      </c>
      <c r="I58" s="72">
        <f t="shared" si="3"/>
        <v>10249269.642571416</v>
      </c>
      <c r="J58" s="53"/>
      <c r="K58" s="33"/>
      <c r="L58" s="38"/>
      <c r="M58" s="39"/>
      <c r="N58" s="33"/>
    </row>
    <row r="59" spans="2:14" x14ac:dyDescent="0.2">
      <c r="B59" s="290">
        <f t="shared" si="0"/>
        <v>32</v>
      </c>
      <c r="C59" s="265"/>
      <c r="D59" s="70">
        <f t="shared" ca="1" si="1"/>
        <v>46335</v>
      </c>
      <c r="E59" s="203" t="s">
        <v>188</v>
      </c>
      <c r="F59" s="71">
        <f t="shared" si="5"/>
        <v>144283.33333333334</v>
      </c>
      <c r="G59" s="71">
        <f t="shared" si="5"/>
        <v>6441.2202380952376</v>
      </c>
      <c r="H59" s="71">
        <f t="shared" si="2"/>
        <v>150724.55357142858</v>
      </c>
      <c r="I59" s="72">
        <f t="shared" si="3"/>
        <v>10098545.088999987</v>
      </c>
      <c r="J59" s="53"/>
      <c r="K59" s="33"/>
      <c r="L59" s="38"/>
      <c r="M59" s="39"/>
      <c r="N59" s="33"/>
    </row>
    <row r="60" spans="2:14" x14ac:dyDescent="0.2">
      <c r="B60" s="290">
        <f t="shared" si="0"/>
        <v>33</v>
      </c>
      <c r="C60" s="265"/>
      <c r="D60" s="70">
        <f t="shared" ca="1" si="1"/>
        <v>46365</v>
      </c>
      <c r="E60" s="203" t="s">
        <v>189</v>
      </c>
      <c r="F60" s="71">
        <f t="shared" si="5"/>
        <v>144283.33333333334</v>
      </c>
      <c r="G60" s="71">
        <f t="shared" si="5"/>
        <v>6441.2202380952376</v>
      </c>
      <c r="H60" s="71">
        <f t="shared" si="2"/>
        <v>150724.55357142858</v>
      </c>
      <c r="I60" s="72">
        <f t="shared" si="3"/>
        <v>9947820.5354285575</v>
      </c>
      <c r="J60" s="53"/>
      <c r="K60" s="33"/>
      <c r="L60" s="38"/>
      <c r="M60" s="39"/>
      <c r="N60" s="33"/>
    </row>
    <row r="61" spans="2:14" x14ac:dyDescent="0.2">
      <c r="B61" s="290">
        <f t="shared" si="0"/>
        <v>34</v>
      </c>
      <c r="C61" s="265"/>
      <c r="D61" s="70">
        <f t="shared" ca="1" si="1"/>
        <v>46396</v>
      </c>
      <c r="E61" s="203" t="s">
        <v>190</v>
      </c>
      <c r="F61" s="71">
        <f t="shared" si="5"/>
        <v>144283.33333333334</v>
      </c>
      <c r="G61" s="71">
        <f t="shared" si="5"/>
        <v>6441.2202380952376</v>
      </c>
      <c r="H61" s="71">
        <f t="shared" si="2"/>
        <v>150724.55357142858</v>
      </c>
      <c r="I61" s="72">
        <f t="shared" si="3"/>
        <v>9797095.9818571284</v>
      </c>
      <c r="J61" s="53"/>
      <c r="K61" s="33"/>
      <c r="L61" s="38"/>
      <c r="M61" s="39"/>
      <c r="N61" s="33"/>
    </row>
    <row r="62" spans="2:14" x14ac:dyDescent="0.2">
      <c r="B62" s="290">
        <f t="shared" si="0"/>
        <v>35</v>
      </c>
      <c r="C62" s="265"/>
      <c r="D62" s="70">
        <f t="shared" ca="1" si="1"/>
        <v>46427</v>
      </c>
      <c r="E62" s="203" t="s">
        <v>191</v>
      </c>
      <c r="F62" s="71">
        <f t="shared" si="5"/>
        <v>144283.33333333334</v>
      </c>
      <c r="G62" s="71">
        <f t="shared" si="5"/>
        <v>6441.2202380952376</v>
      </c>
      <c r="H62" s="71">
        <f t="shared" si="2"/>
        <v>150724.55357142858</v>
      </c>
      <c r="I62" s="72">
        <f t="shared" si="3"/>
        <v>9646371.4282856993</v>
      </c>
      <c r="J62" s="53"/>
      <c r="K62" s="33"/>
      <c r="L62" s="38"/>
      <c r="M62" s="39"/>
      <c r="N62" s="33"/>
    </row>
    <row r="63" spans="2:14" x14ac:dyDescent="0.2">
      <c r="B63" s="290">
        <f t="shared" si="0"/>
        <v>36</v>
      </c>
      <c r="C63" s="265"/>
      <c r="D63" s="70">
        <f t="shared" ca="1" si="1"/>
        <v>46455</v>
      </c>
      <c r="E63" s="203" t="s">
        <v>192</v>
      </c>
      <c r="F63" s="71">
        <f t="shared" ref="F63:G66" si="6">F62</f>
        <v>144283.33333333334</v>
      </c>
      <c r="G63" s="71">
        <f t="shared" si="6"/>
        <v>6441.2202380952376</v>
      </c>
      <c r="H63" s="71">
        <f t="shared" si="2"/>
        <v>150724.55357142858</v>
      </c>
      <c r="I63" s="72">
        <f t="shared" si="3"/>
        <v>9495646.8747142702</v>
      </c>
      <c r="J63" s="53"/>
      <c r="K63" s="33"/>
      <c r="L63" s="38"/>
      <c r="M63" s="39"/>
      <c r="N63" s="33"/>
    </row>
    <row r="64" spans="2:14" x14ac:dyDescent="0.2">
      <c r="B64" s="290">
        <f t="shared" si="0"/>
        <v>37</v>
      </c>
      <c r="C64" s="265"/>
      <c r="D64" s="70">
        <f t="shared" ca="1" si="1"/>
        <v>46486</v>
      </c>
      <c r="E64" s="203" t="s">
        <v>193</v>
      </c>
      <c r="F64" s="71">
        <f t="shared" si="6"/>
        <v>144283.33333333334</v>
      </c>
      <c r="G64" s="71">
        <f t="shared" si="6"/>
        <v>6441.2202380952376</v>
      </c>
      <c r="H64" s="71">
        <f t="shared" si="2"/>
        <v>150724.55357142858</v>
      </c>
      <c r="I64" s="72">
        <f t="shared" si="3"/>
        <v>9344922.3211428411</v>
      </c>
      <c r="J64" s="53"/>
      <c r="K64" s="33"/>
      <c r="L64" s="38"/>
      <c r="M64" s="39"/>
      <c r="N64" s="33"/>
    </row>
    <row r="65" spans="2:18" x14ac:dyDescent="0.2">
      <c r="B65" s="290">
        <f t="shared" si="0"/>
        <v>38</v>
      </c>
      <c r="C65" s="265"/>
      <c r="D65" s="70">
        <f t="shared" ca="1" si="1"/>
        <v>46516</v>
      </c>
      <c r="E65" s="203" t="s">
        <v>194</v>
      </c>
      <c r="F65" s="71">
        <f t="shared" si="6"/>
        <v>144283.33333333334</v>
      </c>
      <c r="G65" s="71">
        <f t="shared" si="6"/>
        <v>6441.2202380952376</v>
      </c>
      <c r="H65" s="71">
        <f t="shared" si="2"/>
        <v>150724.55357142858</v>
      </c>
      <c r="I65" s="72">
        <f t="shared" si="3"/>
        <v>9194197.767571412</v>
      </c>
      <c r="J65" s="53"/>
      <c r="K65" s="33"/>
      <c r="L65" s="38"/>
      <c r="M65" s="39"/>
      <c r="N65" s="33"/>
    </row>
    <row r="66" spans="2:18" x14ac:dyDescent="0.2">
      <c r="B66" s="290">
        <f t="shared" si="0"/>
        <v>39</v>
      </c>
      <c r="C66" s="265"/>
      <c r="D66" s="70">
        <f t="shared" ca="1" si="1"/>
        <v>46547</v>
      </c>
      <c r="E66" s="203" t="s">
        <v>195</v>
      </c>
      <c r="F66" s="71">
        <f t="shared" si="6"/>
        <v>144283.33333333334</v>
      </c>
      <c r="G66" s="71">
        <f t="shared" si="6"/>
        <v>6441.2202380952376</v>
      </c>
      <c r="H66" s="71">
        <f t="shared" si="2"/>
        <v>150724.55357142858</v>
      </c>
      <c r="I66" s="72">
        <f t="shared" si="3"/>
        <v>9043473.2139999829</v>
      </c>
      <c r="J66" s="53"/>
      <c r="K66" s="33"/>
      <c r="L66" s="38"/>
      <c r="M66" s="39"/>
      <c r="N66" s="33"/>
    </row>
    <row r="67" spans="2:18" ht="15.75" thickBot="1" x14ac:dyDescent="0.25">
      <c r="B67" s="290">
        <f t="shared" si="0"/>
        <v>40</v>
      </c>
      <c r="C67" s="265"/>
      <c r="D67" s="70">
        <f t="shared" ca="1" si="1"/>
        <v>46577</v>
      </c>
      <c r="E67" s="150" t="s">
        <v>143</v>
      </c>
      <c r="F67" s="100">
        <f>((D23-D21)*50%)</f>
        <v>8657000</v>
      </c>
      <c r="G67" s="100">
        <f>(D21*50%)</f>
        <v>386473.21428571426</v>
      </c>
      <c r="H67" s="71">
        <f t="shared" si="2"/>
        <v>9043473.2142857146</v>
      </c>
      <c r="I67" s="72">
        <f t="shared" si="3"/>
        <v>-2.8573162853717804E-4</v>
      </c>
      <c r="J67" s="53"/>
      <c r="K67" s="33"/>
      <c r="L67" s="38"/>
      <c r="M67" s="39"/>
      <c r="N67" s="33"/>
    </row>
    <row r="68" spans="2:18" ht="15.75" thickBot="1" x14ac:dyDescent="0.25">
      <c r="B68" s="54"/>
      <c r="C68" s="55"/>
      <c r="D68" s="56"/>
      <c r="E68" s="57" t="s">
        <v>81</v>
      </c>
      <c r="F68" s="58">
        <f>SUM(F26:F67)</f>
        <v>17313999.999999993</v>
      </c>
      <c r="G68" s="58">
        <f>SUM(G26:G67)</f>
        <v>772946.42885714327</v>
      </c>
      <c r="H68" s="58">
        <f>SUM(H26:H67)</f>
        <v>18086946.428857133</v>
      </c>
      <c r="I68" s="59"/>
      <c r="J68" s="33"/>
      <c r="K68" s="33"/>
      <c r="L68" s="38">
        <f>SUM(L26:L65)</f>
        <v>56000</v>
      </c>
      <c r="M68" s="39">
        <f>L68-F68</f>
        <v>-17257999.999999993</v>
      </c>
      <c r="N68" s="33"/>
    </row>
    <row r="69" spans="2:18" x14ac:dyDescent="0.2">
      <c r="D69" s="60"/>
      <c r="L69" s="61"/>
    </row>
    <row r="70" spans="2:18" x14ac:dyDescent="0.2">
      <c r="B70" s="62" t="s">
        <v>82</v>
      </c>
      <c r="C70" s="62"/>
      <c r="D70" s="60"/>
      <c r="M70" s="33"/>
      <c r="N70" s="38"/>
      <c r="O70" s="33"/>
      <c r="P70" s="33"/>
      <c r="Q70" s="65"/>
      <c r="R70" s="65"/>
    </row>
    <row r="71" spans="2:18" ht="15" customHeight="1" x14ac:dyDescent="0.2">
      <c r="B71" s="261" t="s">
        <v>266</v>
      </c>
      <c r="C71" s="261"/>
      <c r="D71" s="261"/>
      <c r="E71" s="261"/>
      <c r="F71" s="261"/>
      <c r="G71" s="261"/>
      <c r="H71" s="261"/>
      <c r="I71" s="261"/>
      <c r="J71" s="111"/>
      <c r="K71" s="111"/>
      <c r="M71" s="33"/>
      <c r="N71" s="33"/>
      <c r="O71" s="33"/>
      <c r="P71" s="33"/>
      <c r="Q71" s="65"/>
      <c r="R71" s="65"/>
    </row>
    <row r="72" spans="2:18" ht="15" customHeight="1" x14ac:dyDescent="0.2">
      <c r="B72" s="261"/>
      <c r="C72" s="261"/>
      <c r="D72" s="261"/>
      <c r="E72" s="261"/>
      <c r="F72" s="261"/>
      <c r="G72" s="261"/>
      <c r="H72" s="261"/>
      <c r="I72" s="261"/>
      <c r="J72" s="260"/>
      <c r="K72" s="260"/>
      <c r="M72" s="33"/>
      <c r="N72" s="33"/>
      <c r="O72" s="33"/>
      <c r="P72" s="33"/>
      <c r="Q72" s="65"/>
      <c r="R72" s="65"/>
    </row>
    <row r="73" spans="2:18" ht="15" customHeight="1" x14ac:dyDescent="0.2">
      <c r="B73" s="261"/>
      <c r="C73" s="261"/>
      <c r="D73" s="261"/>
      <c r="E73" s="261"/>
      <c r="F73" s="261"/>
      <c r="G73" s="261"/>
      <c r="H73" s="261"/>
      <c r="I73" s="261"/>
      <c r="J73" s="260"/>
      <c r="K73" s="260"/>
      <c r="M73" s="33"/>
      <c r="N73" s="33"/>
      <c r="O73" s="33"/>
      <c r="P73" s="33"/>
      <c r="Q73" s="65"/>
      <c r="R73" s="65"/>
    </row>
    <row r="74" spans="2:18" x14ac:dyDescent="0.2">
      <c r="B74" s="261"/>
      <c r="C74" s="261"/>
      <c r="D74" s="261"/>
      <c r="E74" s="261"/>
      <c r="F74" s="261"/>
      <c r="G74" s="261"/>
      <c r="H74" s="261"/>
      <c r="I74" s="261"/>
      <c r="J74" s="260"/>
      <c r="K74" s="260"/>
      <c r="M74" s="33"/>
      <c r="N74" s="33"/>
      <c r="O74" s="33"/>
      <c r="P74" s="33"/>
      <c r="Q74" s="65"/>
      <c r="R74" s="65"/>
    </row>
    <row r="75" spans="2:18" ht="78.95" customHeight="1" x14ac:dyDescent="0.2">
      <c r="B75" s="261"/>
      <c r="C75" s="261"/>
      <c r="D75" s="261"/>
      <c r="E75" s="261"/>
      <c r="F75" s="261"/>
      <c r="G75" s="261"/>
      <c r="H75" s="261"/>
      <c r="I75" s="261"/>
      <c r="J75" s="260"/>
      <c r="K75" s="260"/>
      <c r="M75" s="33"/>
      <c r="N75" s="33"/>
      <c r="O75" s="33"/>
      <c r="P75" s="33"/>
      <c r="Q75" s="65"/>
      <c r="R75" s="65"/>
    </row>
    <row r="76" spans="2:18" ht="6.75" hidden="1" customHeight="1" x14ac:dyDescent="0.2">
      <c r="B76" s="261"/>
      <c r="C76" s="261"/>
      <c r="D76" s="261"/>
      <c r="E76" s="261"/>
      <c r="F76" s="261"/>
      <c r="G76" s="261"/>
      <c r="H76" s="261"/>
      <c r="I76" s="261"/>
      <c r="J76" s="260"/>
      <c r="K76" s="260"/>
      <c r="M76" s="33"/>
      <c r="N76" s="33"/>
      <c r="O76" s="33"/>
      <c r="P76" s="33"/>
      <c r="Q76" s="65"/>
      <c r="R76" s="65"/>
    </row>
    <row r="77" spans="2:18" ht="47.25" customHeight="1" x14ac:dyDescent="0.2">
      <c r="B77" s="261"/>
      <c r="C77" s="261"/>
      <c r="D77" s="261"/>
      <c r="E77" s="261"/>
      <c r="F77" s="261"/>
      <c r="G77" s="261"/>
      <c r="H77" s="261"/>
      <c r="I77" s="261"/>
      <c r="J77" s="260"/>
      <c r="K77" s="260"/>
      <c r="M77" s="33"/>
      <c r="N77" s="33"/>
      <c r="O77" s="33"/>
      <c r="P77" s="33"/>
      <c r="Q77" s="65"/>
      <c r="R77" s="65"/>
    </row>
    <row r="78" spans="2:18" ht="7.5" hidden="1" customHeight="1" x14ac:dyDescent="0.2">
      <c r="B78" s="261"/>
      <c r="C78" s="261"/>
      <c r="D78" s="261"/>
      <c r="E78" s="261"/>
      <c r="F78" s="261"/>
      <c r="G78" s="261"/>
      <c r="H78" s="261"/>
      <c r="I78" s="261"/>
      <c r="J78" s="260"/>
      <c r="K78" s="260"/>
      <c r="M78" s="33"/>
      <c r="N78" s="33"/>
      <c r="O78" s="33"/>
      <c r="P78" s="33"/>
      <c r="Q78" s="65"/>
      <c r="R78" s="65"/>
    </row>
    <row r="79" spans="2:18" hidden="1" x14ac:dyDescent="0.2">
      <c r="B79" s="63"/>
      <c r="C79" s="63"/>
      <c r="M79" s="33"/>
      <c r="N79" s="33"/>
      <c r="O79" s="33"/>
      <c r="P79" s="33"/>
      <c r="Q79" s="65"/>
      <c r="R79" s="65"/>
    </row>
    <row r="80" spans="2:18" hidden="1" x14ac:dyDescent="0.2">
      <c r="B80" s="64"/>
      <c r="C80" s="64"/>
      <c r="M80" s="33"/>
      <c r="N80" s="33"/>
      <c r="O80" s="33"/>
      <c r="P80" s="33"/>
      <c r="Q80" s="65"/>
      <c r="R80" s="65"/>
    </row>
    <row r="81" spans="1:28" hidden="1" x14ac:dyDescent="0.2">
      <c r="B81" s="64"/>
      <c r="C81" s="64"/>
      <c r="M81" s="33"/>
      <c r="N81" s="33"/>
      <c r="O81" s="33"/>
      <c r="P81" s="33"/>
      <c r="Q81" s="65"/>
      <c r="R81" s="65"/>
    </row>
    <row r="82" spans="1:28" hidden="1" x14ac:dyDescent="0.2">
      <c r="B82" s="64"/>
      <c r="C82" s="64"/>
      <c r="M82" s="33"/>
      <c r="N82" s="33"/>
      <c r="O82" s="33"/>
      <c r="P82" s="33"/>
      <c r="Q82" s="65"/>
      <c r="R82" s="65"/>
    </row>
    <row r="83" spans="1:28" hidden="1" x14ac:dyDescent="0.2">
      <c r="B83" s="64"/>
      <c r="C83" s="64"/>
      <c r="M83" s="33"/>
      <c r="N83" s="33"/>
      <c r="O83" s="33"/>
      <c r="P83" s="33"/>
      <c r="Q83" s="65"/>
      <c r="R83" s="65"/>
    </row>
    <row r="84" spans="1:28" s="65" customFormat="1" hidden="1" x14ac:dyDescent="0.2">
      <c r="A84" s="22"/>
      <c r="B84" s="64"/>
      <c r="C84" s="64"/>
      <c r="M84" s="33"/>
      <c r="N84" s="33"/>
      <c r="O84" s="33"/>
      <c r="P84" s="33"/>
    </row>
    <row r="85" spans="1:28" ht="18.75" customHeight="1" x14ac:dyDescent="0.2">
      <c r="M85" s="33"/>
      <c r="N85" s="33"/>
      <c r="O85" s="33"/>
      <c r="P85" s="33"/>
      <c r="Q85" s="65"/>
      <c r="R85" s="65"/>
    </row>
    <row r="86" spans="1:28" x14ac:dyDescent="0.2">
      <c r="B86" s="66" t="s">
        <v>84</v>
      </c>
      <c r="C86" s="66"/>
      <c r="M86" s="33"/>
      <c r="N86" s="33"/>
      <c r="O86" s="33"/>
      <c r="P86" s="33"/>
      <c r="Q86" s="65"/>
      <c r="R86" s="65"/>
    </row>
    <row r="87" spans="1:28" x14ac:dyDescent="0.2">
      <c r="M87" s="33"/>
      <c r="N87" s="33"/>
      <c r="O87" s="33"/>
      <c r="P87" s="33"/>
      <c r="Q87" s="65"/>
      <c r="R87" s="65"/>
    </row>
    <row r="88" spans="1:28" x14ac:dyDescent="0.2">
      <c r="M88" s="33"/>
      <c r="N88" s="33"/>
      <c r="O88" s="33"/>
      <c r="P88" s="33"/>
      <c r="Q88" s="65"/>
      <c r="R88" s="65"/>
    </row>
    <row r="89" spans="1:28" x14ac:dyDescent="0.2">
      <c r="B89" s="259" t="s">
        <v>85</v>
      </c>
      <c r="C89" s="259"/>
      <c r="D89" s="259"/>
      <c r="F89" s="259" t="s">
        <v>86</v>
      </c>
      <c r="G89" s="259"/>
      <c r="H89" s="259"/>
      <c r="I89" s="259"/>
      <c r="J89" s="259"/>
      <c r="K89" s="259"/>
      <c r="M89" s="33"/>
      <c r="N89" s="33"/>
      <c r="O89" s="33"/>
      <c r="P89" s="33"/>
      <c r="Q89" s="65"/>
      <c r="R89" s="65"/>
    </row>
    <row r="91" spans="1:28" x14ac:dyDescent="0.2">
      <c r="B91" s="67"/>
      <c r="C91" s="67"/>
      <c r="D91" s="67"/>
      <c r="E91" s="67"/>
      <c r="F91" s="67"/>
      <c r="G91" s="67"/>
      <c r="H91" s="67"/>
      <c r="I91" s="67"/>
      <c r="J91" s="33"/>
      <c r="K91" s="33"/>
      <c r="L91" s="33"/>
      <c r="M91" s="33"/>
      <c r="N91" s="33"/>
      <c r="O91" s="33"/>
      <c r="P91" s="33"/>
      <c r="Q91" s="33"/>
      <c r="R91" s="33"/>
      <c r="S91" s="33"/>
      <c r="T91" s="31"/>
      <c r="U91" s="31"/>
      <c r="V91" s="31"/>
      <c r="W91" s="31"/>
      <c r="X91" s="31"/>
      <c r="Y91" s="31"/>
      <c r="Z91" s="31"/>
      <c r="AA91" s="31"/>
      <c r="AB91" s="31"/>
    </row>
    <row r="92" spans="1:28" x14ac:dyDescent="0.2">
      <c r="B92" s="67"/>
      <c r="C92" s="67"/>
      <c r="D92" s="67"/>
      <c r="E92" s="67"/>
      <c r="F92" s="67"/>
      <c r="G92" s="67"/>
      <c r="H92" s="67"/>
      <c r="I92" s="67"/>
      <c r="J92" s="33"/>
      <c r="K92" s="33"/>
      <c r="L92" s="33"/>
      <c r="M92" s="33"/>
      <c r="N92" s="33"/>
      <c r="O92" s="33"/>
      <c r="P92" s="33"/>
      <c r="Q92" s="33"/>
      <c r="R92" s="33"/>
      <c r="S92" s="33"/>
      <c r="T92" s="31"/>
      <c r="U92" s="31"/>
      <c r="V92" s="31"/>
      <c r="W92" s="31"/>
      <c r="X92" s="31"/>
      <c r="Y92" s="31"/>
      <c r="Z92" s="31"/>
      <c r="AA92" s="31"/>
      <c r="AB92" s="31"/>
    </row>
    <row r="93" spans="1:28" x14ac:dyDescent="0.2">
      <c r="B93" s="67"/>
      <c r="C93" s="67"/>
      <c r="D93" s="67"/>
      <c r="E93" s="67"/>
      <c r="F93" s="67"/>
      <c r="G93" s="67"/>
      <c r="H93" s="67"/>
      <c r="I93" s="67"/>
    </row>
    <row r="94" spans="1:28" x14ac:dyDescent="0.2">
      <c r="B94" s="67"/>
      <c r="C94" s="67"/>
      <c r="D94" s="67"/>
      <c r="E94" s="67"/>
      <c r="F94" s="67"/>
      <c r="G94" s="67"/>
      <c r="H94" s="67"/>
      <c r="I94" s="67"/>
    </row>
    <row r="95" spans="1:28" x14ac:dyDescent="0.2">
      <c r="B95" s="262" t="s">
        <v>144</v>
      </c>
      <c r="C95" s="262"/>
      <c r="D95" s="262"/>
      <c r="E95" s="262"/>
      <c r="F95" s="262"/>
      <c r="G95" s="262"/>
      <c r="H95" s="262"/>
      <c r="I95" s="262"/>
      <c r="J95" s="68"/>
    </row>
    <row r="96" spans="1:28" x14ac:dyDescent="0.2">
      <c r="B96" s="263" t="s">
        <v>145</v>
      </c>
      <c r="C96" s="263"/>
      <c r="D96" s="263"/>
      <c r="E96" s="263"/>
      <c r="F96" s="263"/>
      <c r="G96" s="263"/>
      <c r="H96" s="263"/>
      <c r="I96" s="263"/>
      <c r="J96" s="68"/>
    </row>
    <row r="97" spans="1:10" x14ac:dyDescent="0.2">
      <c r="B97" s="262" t="s">
        <v>146</v>
      </c>
      <c r="C97" s="262"/>
      <c r="D97" s="262"/>
      <c r="E97" s="262"/>
      <c r="F97" s="262"/>
      <c r="G97" s="262"/>
      <c r="H97" s="262"/>
      <c r="I97" s="262"/>
      <c r="J97" s="68"/>
    </row>
    <row r="98" spans="1:10" x14ac:dyDescent="0.2">
      <c r="B98" s="262" t="s">
        <v>147</v>
      </c>
      <c r="C98" s="262"/>
      <c r="D98" s="262"/>
      <c r="E98" s="262"/>
      <c r="F98" s="262"/>
      <c r="G98" s="262"/>
      <c r="H98" s="262"/>
      <c r="I98" s="262"/>
      <c r="J98" s="68"/>
    </row>
    <row r="99" spans="1:10" x14ac:dyDescent="0.2">
      <c r="B99" s="262" t="s">
        <v>148</v>
      </c>
      <c r="C99" s="262"/>
      <c r="D99" s="262"/>
      <c r="E99" s="262"/>
      <c r="F99" s="262"/>
      <c r="G99" s="262"/>
      <c r="H99" s="262"/>
      <c r="I99" s="262"/>
      <c r="J99" s="68"/>
    </row>
    <row r="100" spans="1:10" x14ac:dyDescent="0.2">
      <c r="B100" s="68"/>
      <c r="C100" s="68"/>
      <c r="D100" s="68"/>
      <c r="E100" s="68"/>
      <c r="F100" s="68"/>
      <c r="G100" s="68"/>
      <c r="H100" s="68"/>
      <c r="I100" s="68"/>
      <c r="J100" s="68"/>
    </row>
    <row r="101" spans="1:10" x14ac:dyDescent="0.2">
      <c r="B101" s="67"/>
      <c r="C101" s="67"/>
      <c r="D101" s="67"/>
      <c r="E101" s="67"/>
      <c r="F101" s="67"/>
      <c r="G101" s="67"/>
      <c r="H101" s="67"/>
      <c r="I101" s="67"/>
    </row>
    <row r="102" spans="1:10" x14ac:dyDescent="0.2">
      <c r="B102" s="67"/>
      <c r="C102" s="67"/>
      <c r="D102" s="67"/>
      <c r="E102" s="67"/>
      <c r="F102" s="67"/>
      <c r="G102" s="67"/>
      <c r="H102" s="67"/>
      <c r="I102" s="67"/>
    </row>
    <row r="103" spans="1:10" x14ac:dyDescent="0.2">
      <c r="B103" s="67"/>
      <c r="C103" s="67"/>
      <c r="D103" s="67"/>
      <c r="E103" s="67"/>
      <c r="F103" s="67"/>
      <c r="G103" s="67"/>
      <c r="H103" s="67"/>
      <c r="I103" s="67"/>
    </row>
    <row r="104" spans="1:10" x14ac:dyDescent="0.2">
      <c r="B104" s="67"/>
      <c r="C104" s="67"/>
      <c r="D104" s="67"/>
      <c r="E104" s="67"/>
      <c r="F104" s="67"/>
      <c r="G104" s="67"/>
      <c r="H104" s="67"/>
      <c r="I104" s="67"/>
    </row>
    <row r="106" spans="1:10" x14ac:dyDescent="0.2">
      <c r="A106" s="65"/>
    </row>
  </sheetData>
  <sheetProtection password="C931" sheet="1" selectLockedCells="1"/>
  <mergeCells count="65">
    <mergeCell ref="B96:I96"/>
    <mergeCell ref="B97:I97"/>
    <mergeCell ref="B98:I98"/>
    <mergeCell ref="B99:I99"/>
    <mergeCell ref="J77:K77"/>
    <mergeCell ref="J78:K78"/>
    <mergeCell ref="B89:D89"/>
    <mergeCell ref="F89:K89"/>
    <mergeCell ref="B95:I95"/>
    <mergeCell ref="B67:C67"/>
    <mergeCell ref="B71:I78"/>
    <mergeCell ref="J72:K72"/>
    <mergeCell ref="J73:K73"/>
    <mergeCell ref="J74:K74"/>
    <mergeCell ref="J75:K75"/>
    <mergeCell ref="J76:K76"/>
    <mergeCell ref="B66:C66"/>
    <mergeCell ref="B60:C60"/>
    <mergeCell ref="B61:C61"/>
    <mergeCell ref="B62:C62"/>
    <mergeCell ref="B63:C63"/>
    <mergeCell ref="B64:C64"/>
    <mergeCell ref="B65:C65"/>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35:C35"/>
    <mergeCell ref="C12:D12"/>
    <mergeCell ref="B25:C25"/>
    <mergeCell ref="B26:C26"/>
    <mergeCell ref="B27:C27"/>
    <mergeCell ref="B28:C28"/>
    <mergeCell ref="B29:C29"/>
    <mergeCell ref="B30:C30"/>
    <mergeCell ref="B31:C31"/>
    <mergeCell ref="B32:C32"/>
    <mergeCell ref="B33:C33"/>
    <mergeCell ref="B34:C34"/>
    <mergeCell ref="C9:D9"/>
    <mergeCell ref="L1:L3"/>
    <mergeCell ref="I2:I3"/>
    <mergeCell ref="C6:D6"/>
    <mergeCell ref="C7:D7"/>
    <mergeCell ref="C8:D8"/>
  </mergeCells>
  <hyperlinks>
    <hyperlink ref="L4" location="Input!A1" display="Return to Input" xr:uid="{00000000-0004-0000-0F00-000000000000}"/>
  </hyperlinks>
  <printOptions horizontalCentered="1" verticalCentered="1"/>
  <pageMargins left="0.39370078740157483" right="0.39370078740157483" top="0" bottom="0" header="0.31496062992125984" footer="0.31496062992125984"/>
  <pageSetup scale="64" orientation="portrait" verticalDpi="4294967293"/>
  <rowBreaks count="1" manualBreakCount="1">
    <brk id="69" min="1" max="6"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pageSetUpPr fitToPage="1"/>
  </sheetPr>
  <dimension ref="A1:AB126"/>
  <sheetViews>
    <sheetView topLeftCell="A4" workbookViewId="0">
      <selection activeCell="L4" sqref="L4"/>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6.14062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f>INPUT!D47</f>
        <v>17314000</v>
      </c>
      <c r="D9" s="281"/>
      <c r="L9" s="31"/>
      <c r="M9" s="31"/>
      <c r="N9" s="31"/>
    </row>
    <row r="10" spans="2:28" x14ac:dyDescent="0.2">
      <c r="B10" s="147" t="s">
        <v>62</v>
      </c>
      <c r="C10" s="144" t="s">
        <v>39</v>
      </c>
      <c r="D10" s="145"/>
      <c r="L10" s="31"/>
      <c r="M10" s="31"/>
      <c r="N10" s="31"/>
    </row>
    <row r="11" spans="2:28" ht="15.75" thickBot="1" x14ac:dyDescent="0.25">
      <c r="B11" s="148"/>
      <c r="C11" s="272"/>
      <c r="D11" s="273"/>
      <c r="L11" s="33"/>
      <c r="M11" s="33"/>
      <c r="N11" s="33"/>
    </row>
    <row r="12" spans="2:28" x14ac:dyDescent="0.2">
      <c r="E12" s="33"/>
      <c r="F12" s="33"/>
      <c r="G12" s="33"/>
      <c r="H12" s="33"/>
      <c r="I12" s="33"/>
      <c r="J12" s="33"/>
      <c r="K12" s="33"/>
      <c r="L12" s="86" t="s">
        <v>150</v>
      </c>
      <c r="M12" s="87">
        <v>0.02</v>
      </c>
      <c r="N12" s="33"/>
    </row>
    <row r="13" spans="2:28" x14ac:dyDescent="0.2">
      <c r="B13" s="34" t="s">
        <v>64</v>
      </c>
      <c r="C13" s="34"/>
      <c r="E13" s="33"/>
      <c r="F13" s="33"/>
      <c r="G13" s="33"/>
      <c r="H13" s="33"/>
      <c r="I13" s="33"/>
      <c r="J13" s="33"/>
      <c r="K13" s="33"/>
      <c r="L13" s="33"/>
      <c r="M13" s="87">
        <v>0</v>
      </c>
      <c r="N13" s="33"/>
    </row>
    <row r="14" spans="2:28" x14ac:dyDescent="0.2">
      <c r="B14" s="35" t="s">
        <v>152</v>
      </c>
      <c r="C14" s="36"/>
      <c r="D14" s="42">
        <f>C9-200000</f>
        <v>17114000</v>
      </c>
      <c r="E14" s="38" t="e">
        <f>#REF!</f>
        <v>#REF!</v>
      </c>
      <c r="F14" s="39" t="e">
        <f>D14-E14</f>
        <v>#REF!</v>
      </c>
      <c r="G14" s="39" t="e">
        <f>E14-F14</f>
        <v>#REF!</v>
      </c>
      <c r="H14" s="39" t="e">
        <f>F14-G14</f>
        <v>#REF!</v>
      </c>
      <c r="I14" s="33"/>
      <c r="J14" s="33"/>
      <c r="K14" s="95"/>
      <c r="L14" s="33"/>
      <c r="M14" s="33"/>
      <c r="N14" s="33"/>
      <c r="O14" s="33"/>
      <c r="P14" s="33"/>
      <c r="Q14" s="33"/>
      <c r="R14" s="33"/>
      <c r="S14" s="33"/>
      <c r="T14" s="31"/>
      <c r="U14" s="31"/>
      <c r="V14" s="31"/>
      <c r="W14" s="31"/>
      <c r="X14" s="31"/>
      <c r="Y14" s="31"/>
      <c r="Z14" s="31"/>
      <c r="AA14" s="31"/>
      <c r="AB14" s="31"/>
    </row>
    <row r="15" spans="2:28" x14ac:dyDescent="0.2">
      <c r="B15" s="115">
        <f>IF(INPUT!$D$42="Repeat Buyer",Classic_Mem_Inst1!$L$13,Classic_Mem_Inst1!$L$14)</f>
        <v>0</v>
      </c>
      <c r="C15" s="97">
        <f>IF(B15=Classic_Mem_Inst1!$L$13,Classic_Mem_Inst1!$M$13,Classic_Mem_Inst1!$M$14)</f>
        <v>0</v>
      </c>
      <c r="D15" s="42">
        <f>D14*C15</f>
        <v>0</v>
      </c>
      <c r="E15" s="38"/>
      <c r="F15" s="39"/>
      <c r="G15" s="39"/>
      <c r="H15" s="39"/>
      <c r="I15" s="33"/>
      <c r="J15" s="33"/>
      <c r="K15" s="95"/>
      <c r="L15" s="33"/>
      <c r="M15" s="33"/>
      <c r="N15" s="33"/>
      <c r="O15" s="33"/>
      <c r="P15" s="33"/>
      <c r="Q15" s="33"/>
      <c r="R15" s="33"/>
      <c r="S15" s="33"/>
      <c r="T15" s="31"/>
      <c r="U15" s="31"/>
      <c r="V15" s="31"/>
      <c r="W15" s="31"/>
      <c r="X15" s="31"/>
      <c r="Y15" s="31"/>
      <c r="Z15" s="31"/>
      <c r="AA15" s="31"/>
      <c r="AB15" s="31"/>
    </row>
    <row r="16" spans="2:28" hidden="1" x14ac:dyDescent="0.2">
      <c r="B16" s="115"/>
      <c r="C16" s="69"/>
      <c r="D16" s="42"/>
      <c r="E16" s="38"/>
      <c r="F16" s="39"/>
      <c r="G16" s="39"/>
      <c r="H16" s="39"/>
      <c r="I16" s="33"/>
      <c r="J16" s="33"/>
      <c r="K16" s="95"/>
      <c r="L16" s="116"/>
      <c r="M16" s="117"/>
      <c r="N16" s="33"/>
      <c r="O16" s="33"/>
      <c r="P16" s="33"/>
      <c r="Q16" s="33"/>
      <c r="R16" s="33"/>
      <c r="S16" s="33"/>
      <c r="T16" s="33"/>
      <c r="U16" s="33"/>
      <c r="V16" s="31"/>
      <c r="W16" s="31"/>
      <c r="X16" s="31"/>
      <c r="Y16" s="31"/>
      <c r="Z16" s="31"/>
      <c r="AA16" s="31"/>
      <c r="AB16" s="31"/>
    </row>
    <row r="17" spans="2:28" hidden="1" x14ac:dyDescent="0.2">
      <c r="B17" s="115"/>
      <c r="C17" s="69"/>
      <c r="D17" s="42"/>
      <c r="E17" s="38"/>
      <c r="F17" s="39"/>
      <c r="G17" s="39"/>
      <c r="H17" s="39"/>
      <c r="I17" s="33"/>
      <c r="J17" s="33"/>
      <c r="K17" s="95"/>
      <c r="L17" s="33"/>
      <c r="M17" s="117"/>
      <c r="N17" s="33"/>
      <c r="O17" s="33"/>
      <c r="P17" s="33"/>
      <c r="Q17" s="33"/>
      <c r="R17" s="33"/>
      <c r="S17" s="33"/>
      <c r="T17" s="33"/>
      <c r="U17" s="33"/>
      <c r="V17" s="31"/>
      <c r="W17" s="31"/>
      <c r="X17" s="31"/>
      <c r="Y17" s="31"/>
      <c r="Z17" s="31"/>
      <c r="AA17" s="31"/>
      <c r="AB17" s="31"/>
    </row>
    <row r="18" spans="2:28" hidden="1" x14ac:dyDescent="0.2">
      <c r="B18" s="115"/>
      <c r="C18" s="69"/>
      <c r="D18" s="42"/>
      <c r="E18" s="38"/>
      <c r="F18" s="39"/>
      <c r="G18" s="39"/>
      <c r="H18" s="39"/>
      <c r="I18" s="33"/>
      <c r="J18" s="33"/>
      <c r="K18" s="95"/>
      <c r="L18" s="33"/>
      <c r="M18" s="33"/>
      <c r="N18" s="33"/>
      <c r="O18" s="33"/>
      <c r="P18" s="33"/>
      <c r="Q18" s="33"/>
      <c r="R18" s="33"/>
      <c r="S18" s="33"/>
      <c r="T18" s="33"/>
      <c r="U18" s="33"/>
      <c r="V18" s="31"/>
      <c r="W18" s="31"/>
      <c r="X18" s="31"/>
      <c r="Y18" s="31"/>
      <c r="Z18" s="31"/>
      <c r="AA18" s="31"/>
      <c r="AB18" s="31"/>
    </row>
    <row r="19" spans="2:28" hidden="1" x14ac:dyDescent="0.2">
      <c r="B19" s="114"/>
      <c r="C19" s="102"/>
      <c r="D19" s="112"/>
      <c r="E19" s="38"/>
      <c r="F19" s="39"/>
      <c r="G19" s="39"/>
      <c r="H19" s="39"/>
      <c r="I19" s="33"/>
      <c r="J19" s="33"/>
      <c r="K19" s="95"/>
      <c r="L19" s="33"/>
      <c r="M19" s="33"/>
      <c r="N19" s="33"/>
      <c r="O19" s="33"/>
      <c r="P19" s="31"/>
      <c r="Q19" s="33"/>
      <c r="R19" s="33"/>
      <c r="S19" s="33"/>
      <c r="T19" s="33"/>
      <c r="U19" s="33"/>
      <c r="V19" s="31"/>
      <c r="W19" s="31"/>
      <c r="X19" s="31"/>
      <c r="Y19" s="31"/>
      <c r="Z19" s="31"/>
      <c r="AA19" s="31"/>
      <c r="AB19" s="31"/>
    </row>
    <row r="20" spans="2:28" x14ac:dyDescent="0.2">
      <c r="B20" s="40" t="s">
        <v>68</v>
      </c>
      <c r="C20" s="97">
        <v>0.05</v>
      </c>
      <c r="D20" s="42">
        <f>((D14-D16-D17-D18-D19-D15)/1.12)*C20</f>
        <v>764017.85714285716</v>
      </c>
      <c r="E20" s="44"/>
      <c r="F20" s="39"/>
      <c r="G20" s="39"/>
      <c r="H20" s="39"/>
      <c r="I20" s="33"/>
      <c r="J20" s="33"/>
      <c r="K20" s="95"/>
      <c r="L20" s="33"/>
      <c r="M20" s="33"/>
      <c r="N20" s="33"/>
      <c r="O20" s="33"/>
      <c r="P20" s="33"/>
      <c r="Q20" s="33"/>
      <c r="R20" s="33"/>
      <c r="S20" s="33"/>
      <c r="T20" s="31"/>
      <c r="U20" s="31"/>
      <c r="V20" s="31"/>
      <c r="W20" s="31"/>
      <c r="X20" s="31"/>
      <c r="Y20" s="31"/>
      <c r="Z20" s="31"/>
      <c r="AA20" s="31"/>
      <c r="AB20" s="31"/>
    </row>
    <row r="21" spans="2:28" x14ac:dyDescent="0.2">
      <c r="B21" s="40" t="s">
        <v>54</v>
      </c>
      <c r="C21" s="97"/>
      <c r="D21" s="42">
        <v>200000</v>
      </c>
      <c r="E21" s="44"/>
      <c r="F21" s="39"/>
      <c r="G21" s="39"/>
      <c r="H21" s="39"/>
      <c r="I21" s="33"/>
      <c r="J21" s="33"/>
      <c r="K21" s="95"/>
      <c r="L21" s="33"/>
      <c r="M21" s="33"/>
      <c r="N21" s="33"/>
      <c r="O21" s="33"/>
      <c r="P21" s="33"/>
      <c r="Q21" s="33"/>
      <c r="R21" s="33"/>
      <c r="S21" s="33"/>
      <c r="T21" s="31"/>
      <c r="U21" s="31"/>
      <c r="V21" s="31"/>
      <c r="W21" s="31"/>
      <c r="X21" s="31"/>
      <c r="Y21" s="31"/>
      <c r="Z21" s="31"/>
      <c r="AA21" s="31"/>
      <c r="AB21" s="31"/>
    </row>
    <row r="22" spans="2:28" ht="15.75" thickBot="1" x14ac:dyDescent="0.25">
      <c r="B22" s="45" t="s">
        <v>69</v>
      </c>
      <c r="C22" s="46"/>
      <c r="D22" s="47">
        <f>(D14-D16-D17-D18-D19-D15+D21+D20)</f>
        <v>18078017.857142858</v>
      </c>
      <c r="E22" s="38"/>
      <c r="F22" s="39"/>
      <c r="G22" s="39"/>
      <c r="H22" s="39"/>
      <c r="I22" s="33"/>
      <c r="J22" s="33"/>
      <c r="K22" s="95"/>
      <c r="L22" s="33"/>
      <c r="M22" s="33"/>
      <c r="N22" s="33"/>
      <c r="O22" s="33"/>
      <c r="P22" s="33"/>
      <c r="Q22" s="33"/>
      <c r="R22" s="33"/>
      <c r="S22" s="33"/>
      <c r="T22" s="31"/>
      <c r="U22" s="31"/>
      <c r="V22" s="31"/>
      <c r="W22" s="31"/>
      <c r="X22" s="31"/>
      <c r="Y22" s="31"/>
      <c r="Z22" s="31"/>
      <c r="AA22" s="31"/>
      <c r="AB22" s="31"/>
    </row>
    <row r="23" spans="2:28" ht="16.5" thickTop="1" thickBot="1" x14ac:dyDescent="0.25"/>
    <row r="24" spans="2:28" ht="15.75" thickBot="1" x14ac:dyDescent="0.25">
      <c r="B24" s="274" t="s">
        <v>70</v>
      </c>
      <c r="C24" s="275"/>
      <c r="D24" s="78" t="s">
        <v>71</v>
      </c>
      <c r="E24" s="78" t="s">
        <v>72</v>
      </c>
      <c r="F24" s="78" t="s">
        <v>73</v>
      </c>
      <c r="G24" s="78" t="s">
        <v>74</v>
      </c>
      <c r="H24" s="78" t="s">
        <v>75</v>
      </c>
      <c r="I24" s="79" t="s">
        <v>76</v>
      </c>
      <c r="J24" s="33"/>
      <c r="K24" s="33"/>
      <c r="L24" s="33"/>
      <c r="M24" s="33"/>
      <c r="N24" s="33"/>
    </row>
    <row r="25" spans="2:28" x14ac:dyDescent="0.2">
      <c r="B25" s="302">
        <v>0</v>
      </c>
      <c r="C25" s="303"/>
      <c r="D25" s="50">
        <v>44917</v>
      </c>
      <c r="E25" s="146" t="s">
        <v>77</v>
      </c>
      <c r="F25" s="51">
        <v>50000</v>
      </c>
      <c r="G25" s="51"/>
      <c r="H25" s="51">
        <f>SUM(F25:G25)</f>
        <v>50000</v>
      </c>
      <c r="I25" s="52">
        <f>D22-H25</f>
        <v>18028017.857142858</v>
      </c>
      <c r="J25" s="53" t="s">
        <v>78</v>
      </c>
      <c r="K25" s="33"/>
      <c r="L25" s="38">
        <v>56000</v>
      </c>
      <c r="M25" s="39">
        <f>L25-F25</f>
        <v>6000</v>
      </c>
      <c r="N25" s="33"/>
    </row>
    <row r="26" spans="2:28" hidden="1" x14ac:dyDescent="0.2">
      <c r="B26" s="290"/>
      <c r="C26" s="265"/>
      <c r="D26" s="70">
        <v>44948</v>
      </c>
      <c r="E26" s="74" t="s">
        <v>79</v>
      </c>
      <c r="F26" s="75"/>
      <c r="G26" s="75"/>
      <c r="H26" s="75">
        <v>0</v>
      </c>
      <c r="I26" s="76">
        <f>I25-H26</f>
        <v>18028017.857142858</v>
      </c>
      <c r="J26" s="53"/>
      <c r="K26" s="33"/>
      <c r="L26" s="38"/>
      <c r="M26" s="39"/>
      <c r="N26" s="33"/>
    </row>
    <row r="27" spans="2:28" x14ac:dyDescent="0.2">
      <c r="B27" s="290">
        <f>B26+1</f>
        <v>1</v>
      </c>
      <c r="C27" s="265"/>
      <c r="D27" s="70">
        <f>EDATE(D25,1)</f>
        <v>44948</v>
      </c>
      <c r="E27" s="143" t="s">
        <v>91</v>
      </c>
      <c r="F27" s="71">
        <f>ROUND((((D22-D20)*100%)-F25),2)/60</f>
        <v>287733.33333333331</v>
      </c>
      <c r="G27" s="71">
        <f>ROUND(((D20*100%)-G25),2)/60</f>
        <v>12733.630999999999</v>
      </c>
      <c r="H27" s="71">
        <f>SUM(F27:G27)</f>
        <v>300466.96433333331</v>
      </c>
      <c r="I27" s="76">
        <f>I26-H27</f>
        <v>17727550.892809525</v>
      </c>
      <c r="J27" s="53"/>
      <c r="K27" s="33"/>
      <c r="L27" s="38"/>
      <c r="M27" s="39"/>
      <c r="N27" s="33"/>
    </row>
    <row r="28" spans="2:28" x14ac:dyDescent="0.2">
      <c r="B28" s="290">
        <f t="shared" ref="B28:B86" si="0">B27+1</f>
        <v>2</v>
      </c>
      <c r="C28" s="265"/>
      <c r="D28" s="70">
        <f>EDATE(D27,1)</f>
        <v>44979</v>
      </c>
      <c r="E28" s="143" t="s">
        <v>92</v>
      </c>
      <c r="F28" s="71">
        <f>F27</f>
        <v>287733.33333333331</v>
      </c>
      <c r="G28" s="71">
        <f>G27</f>
        <v>12733.630999999999</v>
      </c>
      <c r="H28" s="71">
        <f>SUM(F28:G28)</f>
        <v>300466.96433333331</v>
      </c>
      <c r="I28" s="72">
        <f t="shared" ref="I28:I74" si="1">I27-H28</f>
        <v>17427083.928476192</v>
      </c>
      <c r="J28" s="53"/>
      <c r="K28" s="33"/>
      <c r="L28" s="38"/>
      <c r="M28" s="39"/>
      <c r="N28" s="33"/>
    </row>
    <row r="29" spans="2:28" x14ac:dyDescent="0.2">
      <c r="B29" s="290">
        <f t="shared" si="0"/>
        <v>3</v>
      </c>
      <c r="C29" s="265"/>
      <c r="D29" s="70">
        <f t="shared" ref="D29:D86" si="2">EDATE(D28,1)</f>
        <v>45007</v>
      </c>
      <c r="E29" s="143" t="s">
        <v>93</v>
      </c>
      <c r="F29" s="71">
        <f>F28</f>
        <v>287733.33333333331</v>
      </c>
      <c r="G29" s="71">
        <f>G28</f>
        <v>12733.630999999999</v>
      </c>
      <c r="H29" s="71">
        <f t="shared" ref="H29:H74" si="3">SUM(F29:G29)</f>
        <v>300466.96433333331</v>
      </c>
      <c r="I29" s="72">
        <f t="shared" si="1"/>
        <v>17126616.964142859</v>
      </c>
      <c r="J29" s="53"/>
      <c r="K29" s="33"/>
      <c r="L29" s="38"/>
      <c r="M29" s="39"/>
      <c r="N29" s="33"/>
    </row>
    <row r="30" spans="2:28" x14ac:dyDescent="0.2">
      <c r="B30" s="290">
        <f t="shared" si="0"/>
        <v>4</v>
      </c>
      <c r="C30" s="265"/>
      <c r="D30" s="70">
        <f t="shared" si="2"/>
        <v>45038</v>
      </c>
      <c r="E30" s="143" t="s">
        <v>94</v>
      </c>
      <c r="F30" s="71">
        <f t="shared" ref="F30:G45" si="4">F29</f>
        <v>287733.33333333331</v>
      </c>
      <c r="G30" s="71">
        <f t="shared" si="4"/>
        <v>12733.630999999999</v>
      </c>
      <c r="H30" s="71">
        <f t="shared" si="3"/>
        <v>300466.96433333331</v>
      </c>
      <c r="I30" s="72">
        <f t="shared" si="1"/>
        <v>16826149.999809526</v>
      </c>
      <c r="J30" s="53"/>
      <c r="K30" s="33"/>
      <c r="L30" s="38"/>
      <c r="M30" s="39"/>
      <c r="N30" s="33"/>
    </row>
    <row r="31" spans="2:28" x14ac:dyDescent="0.2">
      <c r="B31" s="290">
        <f t="shared" si="0"/>
        <v>5</v>
      </c>
      <c r="C31" s="265"/>
      <c r="D31" s="70">
        <f t="shared" si="2"/>
        <v>45068</v>
      </c>
      <c r="E31" s="143" t="s">
        <v>95</v>
      </c>
      <c r="F31" s="71">
        <f t="shared" si="4"/>
        <v>287733.33333333331</v>
      </c>
      <c r="G31" s="71">
        <f t="shared" si="4"/>
        <v>12733.630999999999</v>
      </c>
      <c r="H31" s="71">
        <f t="shared" si="3"/>
        <v>300466.96433333331</v>
      </c>
      <c r="I31" s="72">
        <f t="shared" si="1"/>
        <v>16525683.035476193</v>
      </c>
      <c r="J31" s="53"/>
      <c r="K31" s="33"/>
      <c r="L31" s="38"/>
      <c r="M31" s="39"/>
      <c r="N31" s="33"/>
    </row>
    <row r="32" spans="2:28" x14ac:dyDescent="0.2">
      <c r="B32" s="290">
        <f t="shared" si="0"/>
        <v>6</v>
      </c>
      <c r="C32" s="265"/>
      <c r="D32" s="70">
        <f t="shared" si="2"/>
        <v>45099</v>
      </c>
      <c r="E32" s="143" t="s">
        <v>96</v>
      </c>
      <c r="F32" s="71">
        <f t="shared" si="4"/>
        <v>287733.33333333331</v>
      </c>
      <c r="G32" s="71">
        <f t="shared" si="4"/>
        <v>12733.630999999999</v>
      </c>
      <c r="H32" s="71">
        <f t="shared" si="3"/>
        <v>300466.96433333331</v>
      </c>
      <c r="I32" s="72">
        <f t="shared" si="1"/>
        <v>16225216.07114286</v>
      </c>
      <c r="J32" s="53"/>
      <c r="K32" s="33"/>
      <c r="L32" s="38"/>
      <c r="M32" s="39"/>
      <c r="N32" s="33"/>
    </row>
    <row r="33" spans="2:14" x14ac:dyDescent="0.2">
      <c r="B33" s="290">
        <f t="shared" si="0"/>
        <v>7</v>
      </c>
      <c r="C33" s="265"/>
      <c r="D33" s="70">
        <f t="shared" si="2"/>
        <v>45129</v>
      </c>
      <c r="E33" s="143" t="s">
        <v>97</v>
      </c>
      <c r="F33" s="71">
        <f t="shared" si="4"/>
        <v>287733.33333333331</v>
      </c>
      <c r="G33" s="71">
        <f t="shared" si="4"/>
        <v>12733.630999999999</v>
      </c>
      <c r="H33" s="71">
        <f t="shared" si="3"/>
        <v>300466.96433333331</v>
      </c>
      <c r="I33" s="72">
        <f t="shared" si="1"/>
        <v>15924749.106809527</v>
      </c>
      <c r="J33" s="53"/>
      <c r="K33" s="33"/>
      <c r="L33" s="38"/>
      <c r="M33" s="39"/>
      <c r="N33" s="33"/>
    </row>
    <row r="34" spans="2:14" x14ac:dyDescent="0.2">
      <c r="B34" s="290">
        <f t="shared" si="0"/>
        <v>8</v>
      </c>
      <c r="C34" s="265"/>
      <c r="D34" s="70">
        <f t="shared" si="2"/>
        <v>45160</v>
      </c>
      <c r="E34" s="143" t="s">
        <v>98</v>
      </c>
      <c r="F34" s="71">
        <f t="shared" si="4"/>
        <v>287733.33333333331</v>
      </c>
      <c r="G34" s="71">
        <f t="shared" si="4"/>
        <v>12733.630999999999</v>
      </c>
      <c r="H34" s="71">
        <f t="shared" si="3"/>
        <v>300466.96433333331</v>
      </c>
      <c r="I34" s="72">
        <f t="shared" si="1"/>
        <v>15624282.142476194</v>
      </c>
      <c r="J34" s="53"/>
      <c r="K34" s="33"/>
      <c r="L34" s="38"/>
      <c r="M34" s="39"/>
      <c r="N34" s="33"/>
    </row>
    <row r="35" spans="2:14" x14ac:dyDescent="0.2">
      <c r="B35" s="290">
        <f t="shared" si="0"/>
        <v>9</v>
      </c>
      <c r="C35" s="265"/>
      <c r="D35" s="70">
        <f t="shared" si="2"/>
        <v>45191</v>
      </c>
      <c r="E35" s="143" t="s">
        <v>99</v>
      </c>
      <c r="F35" s="71">
        <f t="shared" si="4"/>
        <v>287733.33333333331</v>
      </c>
      <c r="G35" s="71">
        <f t="shared" si="4"/>
        <v>12733.630999999999</v>
      </c>
      <c r="H35" s="71">
        <f t="shared" si="3"/>
        <v>300466.96433333331</v>
      </c>
      <c r="I35" s="72">
        <f t="shared" si="1"/>
        <v>15323815.178142861</v>
      </c>
      <c r="J35" s="53"/>
      <c r="K35" s="33"/>
      <c r="L35" s="38"/>
      <c r="M35" s="39"/>
      <c r="N35" s="33"/>
    </row>
    <row r="36" spans="2:14" x14ac:dyDescent="0.2">
      <c r="B36" s="290">
        <f t="shared" si="0"/>
        <v>10</v>
      </c>
      <c r="C36" s="265"/>
      <c r="D36" s="70">
        <f t="shared" si="2"/>
        <v>45221</v>
      </c>
      <c r="E36" s="143" t="s">
        <v>100</v>
      </c>
      <c r="F36" s="71">
        <f t="shared" si="4"/>
        <v>287733.33333333331</v>
      </c>
      <c r="G36" s="71">
        <f t="shared" si="4"/>
        <v>12733.630999999999</v>
      </c>
      <c r="H36" s="71">
        <f t="shared" si="3"/>
        <v>300466.96433333331</v>
      </c>
      <c r="I36" s="72">
        <f t="shared" si="1"/>
        <v>15023348.213809527</v>
      </c>
      <c r="J36" s="53"/>
      <c r="K36" s="33"/>
      <c r="L36" s="38"/>
      <c r="M36" s="39"/>
      <c r="N36" s="33"/>
    </row>
    <row r="37" spans="2:14" x14ac:dyDescent="0.2">
      <c r="B37" s="290">
        <f t="shared" si="0"/>
        <v>11</v>
      </c>
      <c r="C37" s="265"/>
      <c r="D37" s="70">
        <f t="shared" si="2"/>
        <v>45252</v>
      </c>
      <c r="E37" s="143" t="s">
        <v>101</v>
      </c>
      <c r="F37" s="71">
        <f t="shared" si="4"/>
        <v>287733.33333333331</v>
      </c>
      <c r="G37" s="71">
        <f t="shared" si="4"/>
        <v>12733.630999999999</v>
      </c>
      <c r="H37" s="71">
        <f t="shared" si="3"/>
        <v>300466.96433333331</v>
      </c>
      <c r="I37" s="72">
        <f t="shared" si="1"/>
        <v>14722881.249476194</v>
      </c>
      <c r="J37" s="53"/>
      <c r="K37" s="33"/>
      <c r="L37" s="38"/>
      <c r="M37" s="39"/>
      <c r="N37" s="33"/>
    </row>
    <row r="38" spans="2:14" x14ac:dyDescent="0.2">
      <c r="B38" s="290">
        <f t="shared" si="0"/>
        <v>12</v>
      </c>
      <c r="C38" s="265"/>
      <c r="D38" s="70">
        <f t="shared" si="2"/>
        <v>45282</v>
      </c>
      <c r="E38" s="143" t="s">
        <v>102</v>
      </c>
      <c r="F38" s="71">
        <f t="shared" si="4"/>
        <v>287733.33333333331</v>
      </c>
      <c r="G38" s="71">
        <f t="shared" si="4"/>
        <v>12733.630999999999</v>
      </c>
      <c r="H38" s="71">
        <f t="shared" si="3"/>
        <v>300466.96433333331</v>
      </c>
      <c r="I38" s="72">
        <f t="shared" si="1"/>
        <v>14422414.285142861</v>
      </c>
      <c r="J38" s="53"/>
      <c r="K38" s="33"/>
      <c r="L38" s="38"/>
      <c r="M38" s="39"/>
      <c r="N38" s="33"/>
    </row>
    <row r="39" spans="2:14" x14ac:dyDescent="0.2">
      <c r="B39" s="290">
        <f t="shared" si="0"/>
        <v>13</v>
      </c>
      <c r="C39" s="265"/>
      <c r="D39" s="70">
        <f t="shared" si="2"/>
        <v>45313</v>
      </c>
      <c r="E39" s="143" t="s">
        <v>103</v>
      </c>
      <c r="F39" s="71">
        <f t="shared" si="4"/>
        <v>287733.33333333331</v>
      </c>
      <c r="G39" s="71">
        <f t="shared" si="4"/>
        <v>12733.630999999999</v>
      </c>
      <c r="H39" s="71">
        <f t="shared" si="3"/>
        <v>300466.96433333331</v>
      </c>
      <c r="I39" s="72">
        <f t="shared" si="1"/>
        <v>14121947.320809528</v>
      </c>
      <c r="J39" s="53"/>
      <c r="K39" s="33"/>
      <c r="L39" s="38"/>
      <c r="M39" s="39"/>
      <c r="N39" s="33"/>
    </row>
    <row r="40" spans="2:14" x14ac:dyDescent="0.2">
      <c r="B40" s="290">
        <f t="shared" si="0"/>
        <v>14</v>
      </c>
      <c r="C40" s="265"/>
      <c r="D40" s="70">
        <f t="shared" si="2"/>
        <v>45344</v>
      </c>
      <c r="E40" s="143" t="s">
        <v>104</v>
      </c>
      <c r="F40" s="71">
        <f t="shared" si="4"/>
        <v>287733.33333333331</v>
      </c>
      <c r="G40" s="71">
        <f t="shared" si="4"/>
        <v>12733.630999999999</v>
      </c>
      <c r="H40" s="71">
        <f t="shared" si="3"/>
        <v>300466.96433333331</v>
      </c>
      <c r="I40" s="72">
        <f t="shared" si="1"/>
        <v>13821480.356476195</v>
      </c>
      <c r="J40" s="53"/>
      <c r="K40" s="33"/>
      <c r="L40" s="38"/>
      <c r="M40" s="39"/>
      <c r="N40" s="33"/>
    </row>
    <row r="41" spans="2:14" x14ac:dyDescent="0.2">
      <c r="B41" s="290">
        <f t="shared" si="0"/>
        <v>15</v>
      </c>
      <c r="C41" s="265"/>
      <c r="D41" s="70">
        <f t="shared" si="2"/>
        <v>45373</v>
      </c>
      <c r="E41" s="143" t="s">
        <v>105</v>
      </c>
      <c r="F41" s="71">
        <f t="shared" si="4"/>
        <v>287733.33333333331</v>
      </c>
      <c r="G41" s="71">
        <f t="shared" si="4"/>
        <v>12733.630999999999</v>
      </c>
      <c r="H41" s="71">
        <f t="shared" si="3"/>
        <v>300466.96433333331</v>
      </c>
      <c r="I41" s="72">
        <f t="shared" si="1"/>
        <v>13521013.392142862</v>
      </c>
      <c r="J41" s="53"/>
      <c r="K41" s="33"/>
      <c r="L41" s="38"/>
      <c r="M41" s="39"/>
      <c r="N41" s="33"/>
    </row>
    <row r="42" spans="2:14" x14ac:dyDescent="0.2">
      <c r="B42" s="290">
        <f t="shared" si="0"/>
        <v>16</v>
      </c>
      <c r="C42" s="265"/>
      <c r="D42" s="70">
        <f t="shared" si="2"/>
        <v>45404</v>
      </c>
      <c r="E42" s="143" t="s">
        <v>106</v>
      </c>
      <c r="F42" s="71">
        <f t="shared" si="4"/>
        <v>287733.33333333331</v>
      </c>
      <c r="G42" s="71">
        <f t="shared" si="4"/>
        <v>12733.630999999999</v>
      </c>
      <c r="H42" s="71">
        <f t="shared" si="3"/>
        <v>300466.96433333331</v>
      </c>
      <c r="I42" s="72">
        <f t="shared" si="1"/>
        <v>13220546.427809529</v>
      </c>
      <c r="J42" s="53"/>
      <c r="K42" s="33"/>
      <c r="L42" s="38"/>
      <c r="M42" s="39"/>
      <c r="N42" s="33"/>
    </row>
    <row r="43" spans="2:14" x14ac:dyDescent="0.2">
      <c r="B43" s="290">
        <f t="shared" si="0"/>
        <v>17</v>
      </c>
      <c r="C43" s="265"/>
      <c r="D43" s="70">
        <f t="shared" si="2"/>
        <v>45434</v>
      </c>
      <c r="E43" s="143" t="s">
        <v>107</v>
      </c>
      <c r="F43" s="71">
        <f t="shared" si="4"/>
        <v>287733.33333333331</v>
      </c>
      <c r="G43" s="71">
        <f t="shared" si="4"/>
        <v>12733.630999999999</v>
      </c>
      <c r="H43" s="71">
        <f t="shared" si="3"/>
        <v>300466.96433333331</v>
      </c>
      <c r="I43" s="72">
        <f t="shared" si="1"/>
        <v>12920079.463476196</v>
      </c>
      <c r="J43" s="53"/>
      <c r="K43" s="33"/>
      <c r="L43" s="38"/>
      <c r="M43" s="39"/>
      <c r="N43" s="33"/>
    </row>
    <row r="44" spans="2:14" x14ac:dyDescent="0.2">
      <c r="B44" s="290">
        <f t="shared" si="0"/>
        <v>18</v>
      </c>
      <c r="C44" s="265"/>
      <c r="D44" s="70">
        <f t="shared" si="2"/>
        <v>45465</v>
      </c>
      <c r="E44" s="143" t="s">
        <v>108</v>
      </c>
      <c r="F44" s="71">
        <f t="shared" si="4"/>
        <v>287733.33333333331</v>
      </c>
      <c r="G44" s="71">
        <f t="shared" si="4"/>
        <v>12733.630999999999</v>
      </c>
      <c r="H44" s="71">
        <f t="shared" si="3"/>
        <v>300466.96433333331</v>
      </c>
      <c r="I44" s="72">
        <f t="shared" si="1"/>
        <v>12619612.499142863</v>
      </c>
      <c r="J44" s="53"/>
      <c r="K44" s="33"/>
      <c r="L44" s="38"/>
      <c r="M44" s="39"/>
      <c r="N44" s="33"/>
    </row>
    <row r="45" spans="2:14" x14ac:dyDescent="0.2">
      <c r="B45" s="290">
        <f t="shared" si="0"/>
        <v>19</v>
      </c>
      <c r="C45" s="265"/>
      <c r="D45" s="70">
        <f t="shared" si="2"/>
        <v>45495</v>
      </c>
      <c r="E45" s="143" t="s">
        <v>109</v>
      </c>
      <c r="F45" s="71">
        <f t="shared" si="4"/>
        <v>287733.33333333331</v>
      </c>
      <c r="G45" s="71">
        <f t="shared" si="4"/>
        <v>12733.630999999999</v>
      </c>
      <c r="H45" s="71">
        <f t="shared" si="3"/>
        <v>300466.96433333331</v>
      </c>
      <c r="I45" s="72">
        <f t="shared" si="1"/>
        <v>12319145.53480953</v>
      </c>
      <c r="J45" s="53"/>
      <c r="K45" s="33"/>
      <c r="L45" s="38"/>
      <c r="M45" s="39"/>
      <c r="N45" s="33"/>
    </row>
    <row r="46" spans="2:14" x14ac:dyDescent="0.2">
      <c r="B46" s="290">
        <f t="shared" si="0"/>
        <v>20</v>
      </c>
      <c r="C46" s="265"/>
      <c r="D46" s="70">
        <f t="shared" si="2"/>
        <v>45526</v>
      </c>
      <c r="E46" s="143" t="s">
        <v>110</v>
      </c>
      <c r="F46" s="71">
        <f t="shared" ref="F46:G61" si="5">F45</f>
        <v>287733.33333333331</v>
      </c>
      <c r="G46" s="71">
        <f t="shared" si="5"/>
        <v>12733.630999999999</v>
      </c>
      <c r="H46" s="71">
        <f t="shared" si="3"/>
        <v>300466.96433333331</v>
      </c>
      <c r="I46" s="72">
        <f t="shared" si="1"/>
        <v>12018678.570476197</v>
      </c>
      <c r="J46" s="53"/>
      <c r="K46" s="33"/>
      <c r="L46" s="38"/>
      <c r="M46" s="39"/>
      <c r="N46" s="33"/>
    </row>
    <row r="47" spans="2:14" x14ac:dyDescent="0.2">
      <c r="B47" s="290">
        <f t="shared" si="0"/>
        <v>21</v>
      </c>
      <c r="C47" s="265"/>
      <c r="D47" s="70">
        <f t="shared" si="2"/>
        <v>45557</v>
      </c>
      <c r="E47" s="143" t="s">
        <v>111</v>
      </c>
      <c r="F47" s="71">
        <f t="shared" si="5"/>
        <v>287733.33333333331</v>
      </c>
      <c r="G47" s="71">
        <f t="shared" si="5"/>
        <v>12733.630999999999</v>
      </c>
      <c r="H47" s="71">
        <f t="shared" si="3"/>
        <v>300466.96433333331</v>
      </c>
      <c r="I47" s="72">
        <f t="shared" si="1"/>
        <v>11718211.606142864</v>
      </c>
      <c r="J47" s="53"/>
      <c r="K47" s="33"/>
      <c r="L47" s="38"/>
      <c r="M47" s="39"/>
      <c r="N47" s="33"/>
    </row>
    <row r="48" spans="2:14" x14ac:dyDescent="0.2">
      <c r="B48" s="290">
        <f t="shared" si="0"/>
        <v>22</v>
      </c>
      <c r="C48" s="265"/>
      <c r="D48" s="70">
        <f t="shared" si="2"/>
        <v>45587</v>
      </c>
      <c r="E48" s="143" t="s">
        <v>112</v>
      </c>
      <c r="F48" s="71">
        <f t="shared" si="5"/>
        <v>287733.33333333331</v>
      </c>
      <c r="G48" s="71">
        <f t="shared" si="5"/>
        <v>12733.630999999999</v>
      </c>
      <c r="H48" s="71">
        <f t="shared" si="3"/>
        <v>300466.96433333331</v>
      </c>
      <c r="I48" s="72">
        <f t="shared" si="1"/>
        <v>11417744.641809531</v>
      </c>
      <c r="J48" s="53"/>
      <c r="K48" s="33"/>
      <c r="L48" s="38"/>
      <c r="M48" s="39"/>
      <c r="N48" s="33"/>
    </row>
    <row r="49" spans="2:14" x14ac:dyDescent="0.2">
      <c r="B49" s="290">
        <f t="shared" si="0"/>
        <v>23</v>
      </c>
      <c r="C49" s="265"/>
      <c r="D49" s="70">
        <f t="shared" si="2"/>
        <v>45618</v>
      </c>
      <c r="E49" s="143" t="s">
        <v>113</v>
      </c>
      <c r="F49" s="71">
        <f t="shared" si="5"/>
        <v>287733.33333333331</v>
      </c>
      <c r="G49" s="71">
        <f t="shared" si="5"/>
        <v>12733.630999999999</v>
      </c>
      <c r="H49" s="71">
        <f t="shared" si="3"/>
        <v>300466.96433333331</v>
      </c>
      <c r="I49" s="72">
        <f t="shared" si="1"/>
        <v>11117277.677476197</v>
      </c>
      <c r="J49" s="53"/>
      <c r="K49" s="33"/>
      <c r="L49" s="38"/>
      <c r="M49" s="39"/>
      <c r="N49" s="33"/>
    </row>
    <row r="50" spans="2:14" x14ac:dyDescent="0.2">
      <c r="B50" s="290">
        <f t="shared" si="0"/>
        <v>24</v>
      </c>
      <c r="C50" s="265"/>
      <c r="D50" s="70">
        <f t="shared" si="2"/>
        <v>45648</v>
      </c>
      <c r="E50" s="143" t="s">
        <v>114</v>
      </c>
      <c r="F50" s="71">
        <f t="shared" si="5"/>
        <v>287733.33333333331</v>
      </c>
      <c r="G50" s="71">
        <f t="shared" si="5"/>
        <v>12733.630999999999</v>
      </c>
      <c r="H50" s="71">
        <f t="shared" si="3"/>
        <v>300466.96433333331</v>
      </c>
      <c r="I50" s="72">
        <f t="shared" si="1"/>
        <v>10816810.713142864</v>
      </c>
      <c r="J50" s="53"/>
      <c r="K50" s="33"/>
      <c r="L50" s="38"/>
      <c r="M50" s="39"/>
      <c r="N50" s="33"/>
    </row>
    <row r="51" spans="2:14" x14ac:dyDescent="0.2">
      <c r="B51" s="290">
        <f t="shared" si="0"/>
        <v>25</v>
      </c>
      <c r="C51" s="265"/>
      <c r="D51" s="70">
        <f t="shared" si="2"/>
        <v>45679</v>
      </c>
      <c r="E51" s="143" t="s">
        <v>119</v>
      </c>
      <c r="F51" s="71">
        <f t="shared" si="5"/>
        <v>287733.33333333331</v>
      </c>
      <c r="G51" s="71">
        <f t="shared" si="5"/>
        <v>12733.630999999999</v>
      </c>
      <c r="H51" s="71">
        <f t="shared" si="3"/>
        <v>300466.96433333331</v>
      </c>
      <c r="I51" s="72">
        <f t="shared" si="1"/>
        <v>10516343.748809531</v>
      </c>
      <c r="J51" s="53"/>
      <c r="K51" s="33"/>
      <c r="L51" s="38"/>
      <c r="M51" s="39"/>
      <c r="N51" s="33"/>
    </row>
    <row r="52" spans="2:14" x14ac:dyDescent="0.2">
      <c r="B52" s="290">
        <f t="shared" si="0"/>
        <v>26</v>
      </c>
      <c r="C52" s="265"/>
      <c r="D52" s="70">
        <f t="shared" si="2"/>
        <v>45710</v>
      </c>
      <c r="E52" s="143" t="s">
        <v>120</v>
      </c>
      <c r="F52" s="71">
        <f t="shared" si="5"/>
        <v>287733.33333333331</v>
      </c>
      <c r="G52" s="71">
        <f t="shared" si="5"/>
        <v>12733.630999999999</v>
      </c>
      <c r="H52" s="71">
        <f t="shared" si="3"/>
        <v>300466.96433333331</v>
      </c>
      <c r="I52" s="72">
        <f t="shared" si="1"/>
        <v>10215876.784476198</v>
      </c>
      <c r="J52" s="53"/>
      <c r="K52" s="33"/>
      <c r="L52" s="38"/>
      <c r="M52" s="39"/>
      <c r="N52" s="33"/>
    </row>
    <row r="53" spans="2:14" x14ac:dyDescent="0.2">
      <c r="B53" s="290">
        <f t="shared" si="0"/>
        <v>27</v>
      </c>
      <c r="C53" s="265"/>
      <c r="D53" s="70">
        <f t="shared" si="2"/>
        <v>45738</v>
      </c>
      <c r="E53" s="143" t="s">
        <v>121</v>
      </c>
      <c r="F53" s="71">
        <f t="shared" si="5"/>
        <v>287733.33333333331</v>
      </c>
      <c r="G53" s="71">
        <f t="shared" si="5"/>
        <v>12733.630999999999</v>
      </c>
      <c r="H53" s="71">
        <f t="shared" si="3"/>
        <v>300466.96433333331</v>
      </c>
      <c r="I53" s="72">
        <f t="shared" si="1"/>
        <v>9915409.8201428652</v>
      </c>
      <c r="J53" s="53"/>
      <c r="K53" s="33"/>
      <c r="L53" s="38"/>
      <c r="M53" s="39"/>
      <c r="N53" s="33"/>
    </row>
    <row r="54" spans="2:14" x14ac:dyDescent="0.2">
      <c r="B54" s="290">
        <f t="shared" si="0"/>
        <v>28</v>
      </c>
      <c r="C54" s="265"/>
      <c r="D54" s="70">
        <f t="shared" si="2"/>
        <v>45769</v>
      </c>
      <c r="E54" s="143" t="s">
        <v>122</v>
      </c>
      <c r="F54" s="71">
        <f t="shared" si="5"/>
        <v>287733.33333333331</v>
      </c>
      <c r="G54" s="71">
        <f t="shared" si="5"/>
        <v>12733.630999999999</v>
      </c>
      <c r="H54" s="71">
        <f t="shared" si="3"/>
        <v>300466.96433333331</v>
      </c>
      <c r="I54" s="72">
        <f t="shared" si="1"/>
        <v>9614942.8558095321</v>
      </c>
      <c r="J54" s="53"/>
      <c r="K54" s="33"/>
      <c r="L54" s="38"/>
      <c r="M54" s="39"/>
      <c r="N54" s="33"/>
    </row>
    <row r="55" spans="2:14" x14ac:dyDescent="0.2">
      <c r="B55" s="290">
        <f t="shared" si="0"/>
        <v>29</v>
      </c>
      <c r="C55" s="265"/>
      <c r="D55" s="70">
        <f t="shared" si="2"/>
        <v>45799</v>
      </c>
      <c r="E55" s="143" t="s">
        <v>123</v>
      </c>
      <c r="F55" s="71">
        <f t="shared" si="5"/>
        <v>287733.33333333331</v>
      </c>
      <c r="G55" s="71">
        <f t="shared" si="5"/>
        <v>12733.630999999999</v>
      </c>
      <c r="H55" s="71">
        <f t="shared" si="3"/>
        <v>300466.96433333331</v>
      </c>
      <c r="I55" s="72">
        <f t="shared" si="1"/>
        <v>9314475.891476199</v>
      </c>
      <c r="J55" s="53"/>
      <c r="K55" s="33"/>
      <c r="L55" s="38"/>
      <c r="M55" s="39"/>
      <c r="N55" s="33"/>
    </row>
    <row r="56" spans="2:14" x14ac:dyDescent="0.2">
      <c r="B56" s="290">
        <f t="shared" si="0"/>
        <v>30</v>
      </c>
      <c r="C56" s="265"/>
      <c r="D56" s="70">
        <f t="shared" si="2"/>
        <v>45830</v>
      </c>
      <c r="E56" s="143" t="s">
        <v>124</v>
      </c>
      <c r="F56" s="71">
        <f t="shared" si="5"/>
        <v>287733.33333333331</v>
      </c>
      <c r="G56" s="71">
        <f t="shared" si="5"/>
        <v>12733.630999999999</v>
      </c>
      <c r="H56" s="71">
        <f t="shared" si="3"/>
        <v>300466.96433333331</v>
      </c>
      <c r="I56" s="72">
        <f t="shared" si="1"/>
        <v>9014008.927142866</v>
      </c>
      <c r="J56" s="53"/>
      <c r="K56" s="33"/>
      <c r="L56" s="38"/>
      <c r="M56" s="39"/>
      <c r="N56" s="33"/>
    </row>
    <row r="57" spans="2:14" x14ac:dyDescent="0.2">
      <c r="B57" s="290">
        <f t="shared" si="0"/>
        <v>31</v>
      </c>
      <c r="C57" s="265"/>
      <c r="D57" s="70">
        <f t="shared" si="2"/>
        <v>45860</v>
      </c>
      <c r="E57" s="143" t="s">
        <v>125</v>
      </c>
      <c r="F57" s="71">
        <f t="shared" si="5"/>
        <v>287733.33333333331</v>
      </c>
      <c r="G57" s="71">
        <f t="shared" si="5"/>
        <v>12733.630999999999</v>
      </c>
      <c r="H57" s="71">
        <f t="shared" si="3"/>
        <v>300466.96433333331</v>
      </c>
      <c r="I57" s="72">
        <f t="shared" si="1"/>
        <v>8713541.9628095329</v>
      </c>
      <c r="J57" s="53"/>
      <c r="K57" s="33"/>
      <c r="L57" s="38"/>
      <c r="M57" s="39"/>
      <c r="N57" s="33"/>
    </row>
    <row r="58" spans="2:14" x14ac:dyDescent="0.2">
      <c r="B58" s="290">
        <f t="shared" si="0"/>
        <v>32</v>
      </c>
      <c r="C58" s="265"/>
      <c r="D58" s="70">
        <f t="shared" si="2"/>
        <v>45891</v>
      </c>
      <c r="E58" s="143" t="s">
        <v>126</v>
      </c>
      <c r="F58" s="71">
        <f t="shared" si="5"/>
        <v>287733.33333333331</v>
      </c>
      <c r="G58" s="71">
        <f t="shared" si="5"/>
        <v>12733.630999999999</v>
      </c>
      <c r="H58" s="71">
        <f t="shared" si="3"/>
        <v>300466.96433333331</v>
      </c>
      <c r="I58" s="72">
        <f t="shared" si="1"/>
        <v>8413074.9984761998</v>
      </c>
      <c r="J58" s="53"/>
      <c r="K58" s="33"/>
      <c r="L58" s="38"/>
      <c r="M58" s="39"/>
      <c r="N58" s="33"/>
    </row>
    <row r="59" spans="2:14" x14ac:dyDescent="0.2">
      <c r="B59" s="290">
        <f t="shared" si="0"/>
        <v>33</v>
      </c>
      <c r="C59" s="265"/>
      <c r="D59" s="70">
        <f t="shared" si="2"/>
        <v>45922</v>
      </c>
      <c r="E59" s="143" t="s">
        <v>127</v>
      </c>
      <c r="F59" s="71">
        <f t="shared" si="5"/>
        <v>287733.33333333331</v>
      </c>
      <c r="G59" s="71">
        <f t="shared" si="5"/>
        <v>12733.630999999999</v>
      </c>
      <c r="H59" s="71">
        <f t="shared" si="3"/>
        <v>300466.96433333331</v>
      </c>
      <c r="I59" s="72">
        <f t="shared" si="1"/>
        <v>8112608.0341428667</v>
      </c>
      <c r="J59" s="53"/>
      <c r="K59" s="33"/>
      <c r="L59" s="38"/>
      <c r="M59" s="39"/>
      <c r="N59" s="33"/>
    </row>
    <row r="60" spans="2:14" x14ac:dyDescent="0.2">
      <c r="B60" s="290">
        <f t="shared" si="0"/>
        <v>34</v>
      </c>
      <c r="C60" s="265"/>
      <c r="D60" s="70">
        <f t="shared" si="2"/>
        <v>45952</v>
      </c>
      <c r="E60" s="143" t="s">
        <v>128</v>
      </c>
      <c r="F60" s="71">
        <f t="shared" si="5"/>
        <v>287733.33333333331</v>
      </c>
      <c r="G60" s="71">
        <f t="shared" si="5"/>
        <v>12733.630999999999</v>
      </c>
      <c r="H60" s="71">
        <f t="shared" si="3"/>
        <v>300466.96433333331</v>
      </c>
      <c r="I60" s="72">
        <f t="shared" si="1"/>
        <v>7812141.0698095337</v>
      </c>
      <c r="J60" s="53"/>
      <c r="K60" s="33"/>
      <c r="L60" s="38"/>
      <c r="M60" s="39"/>
      <c r="N60" s="33"/>
    </row>
    <row r="61" spans="2:14" x14ac:dyDescent="0.2">
      <c r="B61" s="290">
        <f t="shared" si="0"/>
        <v>35</v>
      </c>
      <c r="C61" s="265"/>
      <c r="D61" s="70">
        <f t="shared" si="2"/>
        <v>45983</v>
      </c>
      <c r="E61" s="143" t="s">
        <v>129</v>
      </c>
      <c r="F61" s="71">
        <f t="shared" si="5"/>
        <v>287733.33333333331</v>
      </c>
      <c r="G61" s="71">
        <f t="shared" si="5"/>
        <v>12733.630999999999</v>
      </c>
      <c r="H61" s="71">
        <f t="shared" si="3"/>
        <v>300466.96433333331</v>
      </c>
      <c r="I61" s="72">
        <f t="shared" si="1"/>
        <v>7511674.1054762006</v>
      </c>
      <c r="J61" s="53"/>
      <c r="K61" s="33"/>
      <c r="L61" s="38"/>
      <c r="M61" s="39"/>
      <c r="N61" s="33"/>
    </row>
    <row r="62" spans="2:14" x14ac:dyDescent="0.2">
      <c r="B62" s="290">
        <f t="shared" si="0"/>
        <v>36</v>
      </c>
      <c r="C62" s="265"/>
      <c r="D62" s="70">
        <f t="shared" si="2"/>
        <v>46013</v>
      </c>
      <c r="E62" s="143" t="s">
        <v>130</v>
      </c>
      <c r="F62" s="71">
        <f t="shared" ref="F62:G63" si="6">F61</f>
        <v>287733.33333333331</v>
      </c>
      <c r="G62" s="71">
        <f t="shared" si="6"/>
        <v>12733.630999999999</v>
      </c>
      <c r="H62" s="71">
        <f t="shared" si="3"/>
        <v>300466.96433333331</v>
      </c>
      <c r="I62" s="72">
        <f t="shared" si="1"/>
        <v>7211207.1411428675</v>
      </c>
      <c r="J62" s="53"/>
      <c r="K62" s="33"/>
      <c r="L62" s="38"/>
      <c r="M62" s="39"/>
      <c r="N62" s="33"/>
    </row>
    <row r="63" spans="2:14" x14ac:dyDescent="0.2">
      <c r="B63" s="290">
        <f t="shared" si="0"/>
        <v>37</v>
      </c>
      <c r="C63" s="265"/>
      <c r="D63" s="70">
        <f t="shared" si="2"/>
        <v>46044</v>
      </c>
      <c r="E63" s="143" t="s">
        <v>131</v>
      </c>
      <c r="F63" s="71">
        <f t="shared" si="6"/>
        <v>287733.33333333331</v>
      </c>
      <c r="G63" s="71">
        <f t="shared" si="6"/>
        <v>12733.630999999999</v>
      </c>
      <c r="H63" s="71">
        <f t="shared" si="3"/>
        <v>300466.96433333331</v>
      </c>
      <c r="I63" s="72">
        <f t="shared" si="1"/>
        <v>6910740.1768095344</v>
      </c>
      <c r="J63" s="53"/>
      <c r="K63" s="33"/>
      <c r="L63" s="38"/>
      <c r="M63" s="39"/>
      <c r="N63" s="33"/>
    </row>
    <row r="64" spans="2:14" x14ac:dyDescent="0.2">
      <c r="B64" s="290">
        <f t="shared" si="0"/>
        <v>38</v>
      </c>
      <c r="C64" s="265"/>
      <c r="D64" s="70">
        <f t="shared" si="2"/>
        <v>46075</v>
      </c>
      <c r="E64" s="143" t="s">
        <v>132</v>
      </c>
      <c r="F64" s="71">
        <f t="shared" ref="F64:G64" si="7">F63</f>
        <v>287733.33333333331</v>
      </c>
      <c r="G64" s="71">
        <f t="shared" si="7"/>
        <v>12733.630999999999</v>
      </c>
      <c r="H64" s="71">
        <f t="shared" si="3"/>
        <v>300466.96433333331</v>
      </c>
      <c r="I64" s="72">
        <f t="shared" si="1"/>
        <v>6610273.2124762014</v>
      </c>
      <c r="J64" s="53"/>
      <c r="K64" s="33"/>
      <c r="L64" s="38"/>
      <c r="M64" s="39"/>
      <c r="N64" s="33"/>
    </row>
    <row r="65" spans="2:14" x14ac:dyDescent="0.2">
      <c r="B65" s="290">
        <f t="shared" si="0"/>
        <v>39</v>
      </c>
      <c r="C65" s="265"/>
      <c r="D65" s="70">
        <f t="shared" si="2"/>
        <v>46103</v>
      </c>
      <c r="E65" s="143" t="s">
        <v>133</v>
      </c>
      <c r="F65" s="71">
        <f t="shared" ref="F65:G65" si="8">F64</f>
        <v>287733.33333333331</v>
      </c>
      <c r="G65" s="71">
        <f t="shared" si="8"/>
        <v>12733.630999999999</v>
      </c>
      <c r="H65" s="71">
        <f t="shared" si="3"/>
        <v>300466.96433333331</v>
      </c>
      <c r="I65" s="72">
        <f t="shared" si="1"/>
        <v>6309806.2481428683</v>
      </c>
      <c r="J65" s="53"/>
      <c r="K65" s="33"/>
      <c r="L65" s="38"/>
      <c r="M65" s="39"/>
      <c r="N65" s="33"/>
    </row>
    <row r="66" spans="2:14" x14ac:dyDescent="0.2">
      <c r="B66" s="290">
        <f t="shared" si="0"/>
        <v>40</v>
      </c>
      <c r="C66" s="265"/>
      <c r="D66" s="70">
        <f t="shared" si="2"/>
        <v>46134</v>
      </c>
      <c r="E66" s="143" t="s">
        <v>134</v>
      </c>
      <c r="F66" s="71">
        <f t="shared" ref="F66:G66" si="9">F65</f>
        <v>287733.33333333331</v>
      </c>
      <c r="G66" s="71">
        <f t="shared" si="9"/>
        <v>12733.630999999999</v>
      </c>
      <c r="H66" s="71">
        <f t="shared" si="3"/>
        <v>300466.96433333331</v>
      </c>
      <c r="I66" s="72">
        <f t="shared" si="1"/>
        <v>6009339.2838095352</v>
      </c>
      <c r="J66" s="53"/>
      <c r="K66" s="33"/>
      <c r="L66" s="38"/>
      <c r="M66" s="39"/>
      <c r="N66" s="33"/>
    </row>
    <row r="67" spans="2:14" x14ac:dyDescent="0.2">
      <c r="B67" s="290">
        <f t="shared" si="0"/>
        <v>41</v>
      </c>
      <c r="C67" s="265"/>
      <c r="D67" s="70">
        <f t="shared" si="2"/>
        <v>46164</v>
      </c>
      <c r="E67" s="143" t="s">
        <v>135</v>
      </c>
      <c r="F67" s="71">
        <f t="shared" ref="F67:G67" si="10">F66</f>
        <v>287733.33333333331</v>
      </c>
      <c r="G67" s="71">
        <f t="shared" si="10"/>
        <v>12733.630999999999</v>
      </c>
      <c r="H67" s="71">
        <f t="shared" si="3"/>
        <v>300466.96433333331</v>
      </c>
      <c r="I67" s="72">
        <f t="shared" si="1"/>
        <v>5708872.3194762021</v>
      </c>
      <c r="J67" s="53"/>
      <c r="K67" s="33"/>
      <c r="L67" s="38"/>
      <c r="M67" s="39"/>
      <c r="N67" s="33"/>
    </row>
    <row r="68" spans="2:14" x14ac:dyDescent="0.2">
      <c r="B68" s="290">
        <f t="shared" si="0"/>
        <v>42</v>
      </c>
      <c r="C68" s="265"/>
      <c r="D68" s="70">
        <f t="shared" si="2"/>
        <v>46195</v>
      </c>
      <c r="E68" s="143" t="s">
        <v>136</v>
      </c>
      <c r="F68" s="71">
        <f t="shared" ref="F68:G68" si="11">F67</f>
        <v>287733.33333333331</v>
      </c>
      <c r="G68" s="71">
        <f t="shared" si="11"/>
        <v>12733.630999999999</v>
      </c>
      <c r="H68" s="71">
        <f t="shared" si="3"/>
        <v>300466.96433333331</v>
      </c>
      <c r="I68" s="72">
        <f t="shared" si="1"/>
        <v>5408405.3551428691</v>
      </c>
      <c r="J68" s="53"/>
      <c r="K68" s="33"/>
      <c r="L68" s="38"/>
      <c r="M68" s="39"/>
      <c r="N68" s="33"/>
    </row>
    <row r="69" spans="2:14" x14ac:dyDescent="0.2">
      <c r="B69" s="290">
        <f t="shared" si="0"/>
        <v>43</v>
      </c>
      <c r="C69" s="265"/>
      <c r="D69" s="70">
        <f t="shared" si="2"/>
        <v>46225</v>
      </c>
      <c r="E69" s="143" t="s">
        <v>137</v>
      </c>
      <c r="F69" s="71">
        <f t="shared" ref="F69:G69" si="12">F68</f>
        <v>287733.33333333331</v>
      </c>
      <c r="G69" s="71">
        <f t="shared" si="12"/>
        <v>12733.630999999999</v>
      </c>
      <c r="H69" s="71">
        <f t="shared" si="3"/>
        <v>300466.96433333331</v>
      </c>
      <c r="I69" s="72">
        <f t="shared" si="1"/>
        <v>5107938.390809536</v>
      </c>
      <c r="J69" s="53"/>
      <c r="K69" s="33"/>
      <c r="L69" s="38"/>
      <c r="M69" s="39"/>
      <c r="N69" s="33"/>
    </row>
    <row r="70" spans="2:14" x14ac:dyDescent="0.2">
      <c r="B70" s="290">
        <f t="shared" si="0"/>
        <v>44</v>
      </c>
      <c r="C70" s="265"/>
      <c r="D70" s="70">
        <f t="shared" si="2"/>
        <v>46256</v>
      </c>
      <c r="E70" s="143" t="s">
        <v>138</v>
      </c>
      <c r="F70" s="71">
        <f t="shared" ref="F70:G70" si="13">F69</f>
        <v>287733.33333333331</v>
      </c>
      <c r="G70" s="71">
        <f t="shared" si="13"/>
        <v>12733.630999999999</v>
      </c>
      <c r="H70" s="71">
        <f t="shared" si="3"/>
        <v>300466.96433333331</v>
      </c>
      <c r="I70" s="72">
        <f t="shared" si="1"/>
        <v>4807471.4264762029</v>
      </c>
      <c r="J70" s="53"/>
      <c r="K70" s="33"/>
      <c r="L70" s="38"/>
      <c r="M70" s="39"/>
      <c r="N70" s="33"/>
    </row>
    <row r="71" spans="2:14" x14ac:dyDescent="0.2">
      <c r="B71" s="290">
        <f t="shared" si="0"/>
        <v>45</v>
      </c>
      <c r="C71" s="265"/>
      <c r="D71" s="70">
        <f t="shared" si="2"/>
        <v>46287</v>
      </c>
      <c r="E71" s="143" t="s">
        <v>139</v>
      </c>
      <c r="F71" s="71">
        <f t="shared" ref="F71:G71" si="14">F70</f>
        <v>287733.33333333331</v>
      </c>
      <c r="G71" s="71">
        <f t="shared" si="14"/>
        <v>12733.630999999999</v>
      </c>
      <c r="H71" s="71">
        <f t="shared" si="3"/>
        <v>300466.96433333331</v>
      </c>
      <c r="I71" s="72">
        <f t="shared" si="1"/>
        <v>4507004.4621428698</v>
      </c>
      <c r="J71" s="53"/>
      <c r="K71" s="33"/>
      <c r="L71" s="38"/>
      <c r="M71" s="39"/>
      <c r="N71" s="33"/>
    </row>
    <row r="72" spans="2:14" x14ac:dyDescent="0.2">
      <c r="B72" s="290">
        <f t="shared" si="0"/>
        <v>46</v>
      </c>
      <c r="C72" s="265"/>
      <c r="D72" s="70">
        <f t="shared" si="2"/>
        <v>46317</v>
      </c>
      <c r="E72" s="143" t="s">
        <v>140</v>
      </c>
      <c r="F72" s="71">
        <f t="shared" ref="F72:G72" si="15">F71</f>
        <v>287733.33333333331</v>
      </c>
      <c r="G72" s="71">
        <f t="shared" si="15"/>
        <v>12733.630999999999</v>
      </c>
      <c r="H72" s="71">
        <f t="shared" si="3"/>
        <v>300466.96433333331</v>
      </c>
      <c r="I72" s="72">
        <f t="shared" si="1"/>
        <v>4206537.4978095368</v>
      </c>
      <c r="J72" s="53"/>
      <c r="K72" s="33"/>
      <c r="L72" s="38"/>
      <c r="M72" s="39"/>
      <c r="N72" s="33"/>
    </row>
    <row r="73" spans="2:14" x14ac:dyDescent="0.2">
      <c r="B73" s="290">
        <f t="shared" si="0"/>
        <v>47</v>
      </c>
      <c r="C73" s="265"/>
      <c r="D73" s="70">
        <f t="shared" si="2"/>
        <v>46348</v>
      </c>
      <c r="E73" s="143" t="s">
        <v>141</v>
      </c>
      <c r="F73" s="71">
        <f t="shared" ref="F73:G73" si="16">F72</f>
        <v>287733.33333333331</v>
      </c>
      <c r="G73" s="71">
        <f t="shared" si="16"/>
        <v>12733.630999999999</v>
      </c>
      <c r="H73" s="71">
        <f t="shared" si="3"/>
        <v>300466.96433333331</v>
      </c>
      <c r="I73" s="72">
        <f t="shared" si="1"/>
        <v>3906070.5334762037</v>
      </c>
      <c r="J73" s="53"/>
      <c r="K73" s="33"/>
      <c r="L73" s="38"/>
      <c r="M73" s="39"/>
      <c r="N73" s="33"/>
    </row>
    <row r="74" spans="2:14" x14ac:dyDescent="0.2">
      <c r="B74" s="290">
        <f t="shared" si="0"/>
        <v>48</v>
      </c>
      <c r="C74" s="265"/>
      <c r="D74" s="70">
        <f t="shared" si="2"/>
        <v>46378</v>
      </c>
      <c r="E74" s="143" t="s">
        <v>142</v>
      </c>
      <c r="F74" s="71">
        <f t="shared" ref="F74:G74" si="17">F73</f>
        <v>287733.33333333331</v>
      </c>
      <c r="G74" s="71">
        <f t="shared" si="17"/>
        <v>12733.630999999999</v>
      </c>
      <c r="H74" s="71">
        <f t="shared" si="3"/>
        <v>300466.96433333331</v>
      </c>
      <c r="I74" s="72">
        <f t="shared" si="1"/>
        <v>3605603.5691428706</v>
      </c>
      <c r="J74" s="53"/>
      <c r="K74" s="33"/>
      <c r="L74" s="38"/>
      <c r="M74" s="39"/>
      <c r="N74" s="33"/>
    </row>
    <row r="75" spans="2:14" x14ac:dyDescent="0.2">
      <c r="B75" s="290">
        <f t="shared" si="0"/>
        <v>49</v>
      </c>
      <c r="C75" s="265"/>
      <c r="D75" s="70">
        <f t="shared" si="2"/>
        <v>46409</v>
      </c>
      <c r="E75" s="175" t="s">
        <v>240</v>
      </c>
      <c r="F75" s="71">
        <f t="shared" ref="F75:G75" si="18">F74</f>
        <v>287733.33333333331</v>
      </c>
      <c r="G75" s="71">
        <f t="shared" si="18"/>
        <v>12733.630999999999</v>
      </c>
      <c r="H75" s="71">
        <f t="shared" ref="H75:H86" si="19">SUM(F75:G75)</f>
        <v>300466.96433333331</v>
      </c>
      <c r="I75" s="72">
        <f t="shared" ref="I75:I86" si="20">I74-H75</f>
        <v>3305136.6048095375</v>
      </c>
      <c r="J75" s="53"/>
      <c r="K75" s="33"/>
      <c r="L75" s="38"/>
      <c r="M75" s="39"/>
      <c r="N75" s="33"/>
    </row>
    <row r="76" spans="2:14" x14ac:dyDescent="0.2">
      <c r="B76" s="290">
        <f t="shared" si="0"/>
        <v>50</v>
      </c>
      <c r="C76" s="265"/>
      <c r="D76" s="70">
        <f t="shared" si="2"/>
        <v>46440</v>
      </c>
      <c r="E76" s="175" t="s">
        <v>241</v>
      </c>
      <c r="F76" s="71">
        <f t="shared" ref="F76:G76" si="21">F75</f>
        <v>287733.33333333331</v>
      </c>
      <c r="G76" s="71">
        <f t="shared" si="21"/>
        <v>12733.630999999999</v>
      </c>
      <c r="H76" s="71">
        <f t="shared" si="19"/>
        <v>300466.96433333331</v>
      </c>
      <c r="I76" s="72">
        <f t="shared" si="20"/>
        <v>3004669.6404762045</v>
      </c>
      <c r="J76" s="53"/>
      <c r="K76" s="33"/>
      <c r="L76" s="38"/>
      <c r="M76" s="39"/>
      <c r="N76" s="33"/>
    </row>
    <row r="77" spans="2:14" x14ac:dyDescent="0.2">
      <c r="B77" s="290">
        <f t="shared" si="0"/>
        <v>51</v>
      </c>
      <c r="C77" s="265"/>
      <c r="D77" s="70">
        <f t="shared" si="2"/>
        <v>46468</v>
      </c>
      <c r="E77" s="175" t="s">
        <v>242</v>
      </c>
      <c r="F77" s="71">
        <f t="shared" ref="F77:G77" si="22">F76</f>
        <v>287733.33333333331</v>
      </c>
      <c r="G77" s="71">
        <f t="shared" si="22"/>
        <v>12733.630999999999</v>
      </c>
      <c r="H77" s="71">
        <f t="shared" si="19"/>
        <v>300466.96433333331</v>
      </c>
      <c r="I77" s="72">
        <f t="shared" si="20"/>
        <v>2704202.6761428714</v>
      </c>
      <c r="J77" s="53"/>
      <c r="K77" s="33"/>
      <c r="L77" s="38"/>
      <c r="M77" s="39"/>
      <c r="N77" s="33"/>
    </row>
    <row r="78" spans="2:14" x14ac:dyDescent="0.2">
      <c r="B78" s="290">
        <f t="shared" si="0"/>
        <v>52</v>
      </c>
      <c r="C78" s="265"/>
      <c r="D78" s="70">
        <f t="shared" si="2"/>
        <v>46499</v>
      </c>
      <c r="E78" s="175" t="s">
        <v>243</v>
      </c>
      <c r="F78" s="71">
        <f t="shared" ref="F78:G78" si="23">F77</f>
        <v>287733.33333333331</v>
      </c>
      <c r="G78" s="71">
        <f t="shared" si="23"/>
        <v>12733.630999999999</v>
      </c>
      <c r="H78" s="71">
        <f t="shared" si="19"/>
        <v>300466.96433333331</v>
      </c>
      <c r="I78" s="72">
        <f t="shared" si="20"/>
        <v>2403735.7118095383</v>
      </c>
      <c r="J78" s="53"/>
      <c r="K78" s="33"/>
      <c r="L78" s="38"/>
      <c r="M78" s="39"/>
      <c r="N78" s="33"/>
    </row>
    <row r="79" spans="2:14" x14ac:dyDescent="0.2">
      <c r="B79" s="290">
        <f t="shared" si="0"/>
        <v>53</v>
      </c>
      <c r="C79" s="265"/>
      <c r="D79" s="70">
        <f t="shared" si="2"/>
        <v>46529</v>
      </c>
      <c r="E79" s="175" t="s">
        <v>244</v>
      </c>
      <c r="F79" s="71">
        <f t="shared" ref="F79:G79" si="24">F78</f>
        <v>287733.33333333331</v>
      </c>
      <c r="G79" s="71">
        <f t="shared" si="24"/>
        <v>12733.630999999999</v>
      </c>
      <c r="H79" s="71">
        <f t="shared" si="19"/>
        <v>300466.96433333331</v>
      </c>
      <c r="I79" s="72">
        <f t="shared" si="20"/>
        <v>2103268.7474762052</v>
      </c>
      <c r="J79" s="53"/>
      <c r="K79" s="33"/>
      <c r="L79" s="38"/>
      <c r="M79" s="39"/>
      <c r="N79" s="33"/>
    </row>
    <row r="80" spans="2:14" x14ac:dyDescent="0.2">
      <c r="B80" s="290">
        <f t="shared" si="0"/>
        <v>54</v>
      </c>
      <c r="C80" s="265"/>
      <c r="D80" s="70">
        <f t="shared" si="2"/>
        <v>46560</v>
      </c>
      <c r="E80" s="175" t="s">
        <v>245</v>
      </c>
      <c r="F80" s="71">
        <f t="shared" ref="F80:G80" si="25">F79</f>
        <v>287733.33333333331</v>
      </c>
      <c r="G80" s="71">
        <f t="shared" si="25"/>
        <v>12733.630999999999</v>
      </c>
      <c r="H80" s="71">
        <f t="shared" si="19"/>
        <v>300466.96433333331</v>
      </c>
      <c r="I80" s="72">
        <f t="shared" si="20"/>
        <v>1802801.7831428719</v>
      </c>
      <c r="J80" s="53"/>
      <c r="K80" s="33"/>
      <c r="L80" s="38"/>
      <c r="M80" s="39"/>
      <c r="N80" s="33"/>
    </row>
    <row r="81" spans="2:18" x14ac:dyDescent="0.2">
      <c r="B81" s="290">
        <f t="shared" si="0"/>
        <v>55</v>
      </c>
      <c r="C81" s="265"/>
      <c r="D81" s="70">
        <f t="shared" si="2"/>
        <v>46590</v>
      </c>
      <c r="E81" s="175" t="s">
        <v>246</v>
      </c>
      <c r="F81" s="71">
        <f t="shared" ref="F81:G81" si="26">F80</f>
        <v>287733.33333333331</v>
      </c>
      <c r="G81" s="71">
        <f t="shared" si="26"/>
        <v>12733.630999999999</v>
      </c>
      <c r="H81" s="71">
        <f t="shared" si="19"/>
        <v>300466.96433333331</v>
      </c>
      <c r="I81" s="72">
        <f t="shared" si="20"/>
        <v>1502334.8188095386</v>
      </c>
      <c r="J81" s="53"/>
      <c r="K81" s="33"/>
      <c r="L81" s="38"/>
      <c r="M81" s="39"/>
      <c r="N81" s="33"/>
    </row>
    <row r="82" spans="2:18" x14ac:dyDescent="0.2">
      <c r="B82" s="290">
        <f t="shared" si="0"/>
        <v>56</v>
      </c>
      <c r="C82" s="265"/>
      <c r="D82" s="70">
        <f t="shared" si="2"/>
        <v>46621</v>
      </c>
      <c r="E82" s="175" t="s">
        <v>247</v>
      </c>
      <c r="F82" s="71">
        <f t="shared" ref="F82:G82" si="27">F81</f>
        <v>287733.33333333331</v>
      </c>
      <c r="G82" s="71">
        <f t="shared" si="27"/>
        <v>12733.630999999999</v>
      </c>
      <c r="H82" s="71">
        <f t="shared" si="19"/>
        <v>300466.96433333331</v>
      </c>
      <c r="I82" s="72">
        <f t="shared" si="20"/>
        <v>1201867.8544762053</v>
      </c>
      <c r="J82" s="53"/>
      <c r="K82" s="33"/>
      <c r="L82" s="38"/>
      <c r="M82" s="39"/>
      <c r="N82" s="33"/>
    </row>
    <row r="83" spans="2:18" x14ac:dyDescent="0.2">
      <c r="B83" s="290">
        <f t="shared" si="0"/>
        <v>57</v>
      </c>
      <c r="C83" s="265"/>
      <c r="D83" s="70">
        <f t="shared" si="2"/>
        <v>46652</v>
      </c>
      <c r="E83" s="175" t="s">
        <v>248</v>
      </c>
      <c r="F83" s="71">
        <f t="shared" ref="F83:G83" si="28">F82</f>
        <v>287733.33333333331</v>
      </c>
      <c r="G83" s="71">
        <f t="shared" si="28"/>
        <v>12733.630999999999</v>
      </c>
      <c r="H83" s="71">
        <f t="shared" si="19"/>
        <v>300466.96433333331</v>
      </c>
      <c r="I83" s="72">
        <f t="shared" si="20"/>
        <v>901400.890142872</v>
      </c>
      <c r="J83" s="53"/>
      <c r="K83" s="33"/>
      <c r="L83" s="38"/>
      <c r="M83" s="39"/>
      <c r="N83" s="33"/>
    </row>
    <row r="84" spans="2:18" x14ac:dyDescent="0.2">
      <c r="B84" s="290">
        <f t="shared" si="0"/>
        <v>58</v>
      </c>
      <c r="C84" s="265"/>
      <c r="D84" s="70">
        <f t="shared" si="2"/>
        <v>46682</v>
      </c>
      <c r="E84" s="175" t="s">
        <v>249</v>
      </c>
      <c r="F84" s="71">
        <f t="shared" ref="F84:G84" si="29">F83</f>
        <v>287733.33333333331</v>
      </c>
      <c r="G84" s="71">
        <f t="shared" si="29"/>
        <v>12733.630999999999</v>
      </c>
      <c r="H84" s="71">
        <f t="shared" si="19"/>
        <v>300466.96433333331</v>
      </c>
      <c r="I84" s="72">
        <f t="shared" si="20"/>
        <v>600933.92580953869</v>
      </c>
      <c r="J84" s="53"/>
      <c r="K84" s="33"/>
      <c r="L84" s="38"/>
      <c r="M84" s="39"/>
      <c r="N84" s="33"/>
    </row>
    <row r="85" spans="2:18" x14ac:dyDescent="0.2">
      <c r="B85" s="290">
        <f t="shared" si="0"/>
        <v>59</v>
      </c>
      <c r="C85" s="265"/>
      <c r="D85" s="70">
        <f t="shared" si="2"/>
        <v>46713</v>
      </c>
      <c r="E85" s="175" t="s">
        <v>250</v>
      </c>
      <c r="F85" s="71">
        <f t="shared" ref="F85:G85" si="30">F84</f>
        <v>287733.33333333331</v>
      </c>
      <c r="G85" s="71">
        <f t="shared" si="30"/>
        <v>12733.630999999999</v>
      </c>
      <c r="H85" s="71">
        <f t="shared" si="19"/>
        <v>300466.96433333331</v>
      </c>
      <c r="I85" s="72">
        <f t="shared" si="20"/>
        <v>300466.96147620538</v>
      </c>
      <c r="J85" s="53"/>
      <c r="K85" s="33"/>
      <c r="L85" s="38"/>
      <c r="M85" s="39"/>
      <c r="N85" s="33"/>
    </row>
    <row r="86" spans="2:18" ht="15.75" thickBot="1" x14ac:dyDescent="0.25">
      <c r="B86" s="290">
        <f t="shared" si="0"/>
        <v>60</v>
      </c>
      <c r="C86" s="265"/>
      <c r="D86" s="70">
        <f t="shared" si="2"/>
        <v>46743</v>
      </c>
      <c r="E86" s="175" t="s">
        <v>251</v>
      </c>
      <c r="F86" s="71">
        <f t="shared" ref="F86:G86" si="31">F85</f>
        <v>287733.33333333331</v>
      </c>
      <c r="G86" s="71">
        <f t="shared" si="31"/>
        <v>12733.630999999999</v>
      </c>
      <c r="H86" s="71">
        <f t="shared" si="19"/>
        <v>300466.96433333331</v>
      </c>
      <c r="I86" s="72">
        <f t="shared" si="20"/>
        <v>-2.8571279253810644E-3</v>
      </c>
      <c r="J86" s="53"/>
      <c r="K86" s="33"/>
      <c r="L86" s="38"/>
      <c r="M86" s="39"/>
      <c r="N86" s="33"/>
    </row>
    <row r="87" spans="2:18" ht="15.75" thickBot="1" x14ac:dyDescent="0.25">
      <c r="B87" s="54"/>
      <c r="C87" s="55"/>
      <c r="D87" s="56"/>
      <c r="E87" s="57" t="s">
        <v>81</v>
      </c>
      <c r="F87" s="58">
        <f>SUM(F25:F86)</f>
        <v>17314000.000000015</v>
      </c>
      <c r="G87" s="58">
        <f>SUM(G25:G86)</f>
        <v>764017.8600000008</v>
      </c>
      <c r="H87" s="58">
        <f>SUM(H25:H86)</f>
        <v>18078017.859999988</v>
      </c>
      <c r="I87" s="59"/>
      <c r="J87" s="33"/>
      <c r="K87" s="33"/>
      <c r="L87" s="38">
        <f>SUM(L25:L64)</f>
        <v>56000</v>
      </c>
      <c r="M87" s="39">
        <f>L87-F87</f>
        <v>-17258000.000000015</v>
      </c>
      <c r="N87" s="33"/>
    </row>
    <row r="88" spans="2:18" x14ac:dyDescent="0.2">
      <c r="D88" s="60"/>
      <c r="L88" s="61"/>
    </row>
    <row r="89" spans="2:18" x14ac:dyDescent="0.2">
      <c r="B89" s="62" t="s">
        <v>82</v>
      </c>
      <c r="C89" s="62"/>
      <c r="D89" s="60"/>
      <c r="M89" s="33"/>
      <c r="N89" s="38"/>
      <c r="O89" s="33"/>
      <c r="P89" s="33"/>
      <c r="Q89" s="65"/>
      <c r="R89" s="65"/>
    </row>
    <row r="90" spans="2:18" ht="15" customHeight="1" x14ac:dyDescent="0.2">
      <c r="B90" s="261" t="s">
        <v>261</v>
      </c>
      <c r="C90" s="261"/>
      <c r="D90" s="261"/>
      <c r="E90" s="261"/>
      <c r="F90" s="261"/>
      <c r="G90" s="261"/>
      <c r="H90" s="261"/>
      <c r="I90" s="261"/>
      <c r="J90" s="111"/>
      <c r="K90" s="111"/>
      <c r="M90" s="33"/>
      <c r="N90" s="33"/>
      <c r="O90" s="33"/>
      <c r="P90" s="33"/>
      <c r="Q90" s="65"/>
      <c r="R90" s="65"/>
    </row>
    <row r="91" spans="2:18" ht="15" customHeight="1" x14ac:dyDescent="0.2">
      <c r="B91" s="261"/>
      <c r="C91" s="261"/>
      <c r="D91" s="261"/>
      <c r="E91" s="261"/>
      <c r="F91" s="261"/>
      <c r="G91" s="261"/>
      <c r="H91" s="261"/>
      <c r="I91" s="261"/>
      <c r="J91" s="260"/>
      <c r="K91" s="260"/>
      <c r="M91" s="33"/>
      <c r="N91" s="33"/>
      <c r="O91" s="33"/>
      <c r="P91" s="33"/>
      <c r="Q91" s="65"/>
      <c r="R91" s="65"/>
    </row>
    <row r="92" spans="2:18" ht="15" customHeight="1" x14ac:dyDescent="0.2">
      <c r="B92" s="261"/>
      <c r="C92" s="261"/>
      <c r="D92" s="261"/>
      <c r="E92" s="261"/>
      <c r="F92" s="261"/>
      <c r="G92" s="261"/>
      <c r="H92" s="261"/>
      <c r="I92" s="261"/>
      <c r="J92" s="260"/>
      <c r="K92" s="260"/>
      <c r="M92" s="33"/>
      <c r="N92" s="33"/>
      <c r="O92" s="33"/>
      <c r="P92" s="33"/>
      <c r="Q92" s="65"/>
      <c r="R92" s="65"/>
    </row>
    <row r="93" spans="2:18" x14ac:dyDescent="0.2">
      <c r="B93" s="261"/>
      <c r="C93" s="261"/>
      <c r="D93" s="261"/>
      <c r="E93" s="261"/>
      <c r="F93" s="261"/>
      <c r="G93" s="261"/>
      <c r="H93" s="261"/>
      <c r="I93" s="261"/>
      <c r="J93" s="260"/>
      <c r="K93" s="260"/>
      <c r="M93" s="33"/>
      <c r="N93" s="33"/>
      <c r="O93" s="33"/>
      <c r="P93" s="33"/>
      <c r="Q93" s="65"/>
      <c r="R93" s="65"/>
    </row>
    <row r="94" spans="2:18" ht="58.5" customHeight="1" x14ac:dyDescent="0.2">
      <c r="B94" s="261"/>
      <c r="C94" s="261"/>
      <c r="D94" s="261"/>
      <c r="E94" s="261"/>
      <c r="F94" s="261"/>
      <c r="G94" s="261"/>
      <c r="H94" s="261"/>
      <c r="I94" s="261"/>
      <c r="J94" s="260"/>
      <c r="K94" s="260"/>
      <c r="M94" s="33"/>
      <c r="N94" s="33"/>
      <c r="O94" s="33"/>
      <c r="P94" s="33"/>
      <c r="Q94" s="65"/>
      <c r="R94" s="65"/>
    </row>
    <row r="95" spans="2:18" ht="6.75" hidden="1" customHeight="1" x14ac:dyDescent="0.2">
      <c r="B95" s="261"/>
      <c r="C95" s="261"/>
      <c r="D95" s="261"/>
      <c r="E95" s="261"/>
      <c r="F95" s="261"/>
      <c r="G95" s="261"/>
      <c r="H95" s="261"/>
      <c r="I95" s="261"/>
      <c r="J95" s="260"/>
      <c r="K95" s="260"/>
      <c r="M95" s="33"/>
      <c r="N95" s="33"/>
      <c r="O95" s="33"/>
      <c r="P95" s="33"/>
      <c r="Q95" s="65"/>
      <c r="R95" s="65"/>
    </row>
    <row r="96" spans="2:18" ht="49.5" customHeight="1" x14ac:dyDescent="0.2">
      <c r="B96" s="261"/>
      <c r="C96" s="261"/>
      <c r="D96" s="261"/>
      <c r="E96" s="261"/>
      <c r="F96" s="261"/>
      <c r="G96" s="261"/>
      <c r="H96" s="261"/>
      <c r="I96" s="261"/>
      <c r="J96" s="260"/>
      <c r="K96" s="260"/>
      <c r="M96" s="33"/>
      <c r="N96" s="33"/>
      <c r="O96" s="33"/>
      <c r="P96" s="33"/>
      <c r="Q96" s="65"/>
      <c r="R96" s="65"/>
    </row>
    <row r="97" spans="1:28" ht="7.5" hidden="1" customHeight="1" x14ac:dyDescent="0.2">
      <c r="B97" s="261"/>
      <c r="C97" s="261"/>
      <c r="D97" s="261"/>
      <c r="E97" s="261"/>
      <c r="F97" s="261"/>
      <c r="G97" s="261"/>
      <c r="H97" s="261"/>
      <c r="I97" s="261"/>
      <c r="J97" s="260"/>
      <c r="K97" s="260"/>
      <c r="M97" s="33"/>
      <c r="N97" s="33"/>
      <c r="O97" s="33"/>
      <c r="P97" s="33"/>
      <c r="Q97" s="65"/>
      <c r="R97" s="65"/>
    </row>
    <row r="98" spans="1:28" ht="54.75" customHeight="1" x14ac:dyDescent="0.2">
      <c r="B98" s="261"/>
      <c r="C98" s="261"/>
      <c r="D98" s="261"/>
      <c r="E98" s="261"/>
      <c r="F98" s="261"/>
      <c r="G98" s="261"/>
      <c r="H98" s="261"/>
      <c r="I98" s="261"/>
      <c r="J98" s="260"/>
      <c r="K98" s="260"/>
      <c r="M98" s="33"/>
      <c r="N98" s="33"/>
      <c r="O98" s="33"/>
      <c r="P98" s="33"/>
      <c r="Q98" s="65"/>
      <c r="R98" s="65"/>
    </row>
    <row r="99" spans="1:28" hidden="1" x14ac:dyDescent="0.2">
      <c r="B99" s="63"/>
      <c r="C99" s="63"/>
      <c r="M99" s="33"/>
      <c r="N99" s="33"/>
      <c r="O99" s="33"/>
      <c r="P99" s="33"/>
      <c r="Q99" s="65"/>
      <c r="R99" s="65"/>
    </row>
    <row r="100" spans="1:28" hidden="1" x14ac:dyDescent="0.2">
      <c r="B100" s="64"/>
      <c r="C100" s="64"/>
      <c r="M100" s="33"/>
      <c r="N100" s="33"/>
      <c r="O100" s="33"/>
      <c r="P100" s="33"/>
      <c r="Q100" s="65"/>
      <c r="R100" s="65"/>
    </row>
    <row r="101" spans="1:28" hidden="1" x14ac:dyDescent="0.2">
      <c r="B101" s="64"/>
      <c r="C101" s="64"/>
      <c r="M101" s="33"/>
      <c r="N101" s="33"/>
      <c r="O101" s="33"/>
      <c r="P101" s="33"/>
      <c r="Q101" s="65"/>
      <c r="R101" s="65"/>
    </row>
    <row r="102" spans="1:28" hidden="1" x14ac:dyDescent="0.2">
      <c r="B102" s="64"/>
      <c r="C102" s="64"/>
      <c r="M102" s="33"/>
      <c r="N102" s="33"/>
      <c r="O102" s="33"/>
      <c r="P102" s="33"/>
      <c r="Q102" s="65"/>
      <c r="R102" s="65"/>
    </row>
    <row r="103" spans="1:28" hidden="1" x14ac:dyDescent="0.2">
      <c r="B103" s="64"/>
      <c r="C103" s="64"/>
      <c r="M103" s="33"/>
      <c r="N103" s="33"/>
      <c r="O103" s="33"/>
      <c r="P103" s="33"/>
      <c r="Q103" s="65"/>
      <c r="R103" s="65"/>
    </row>
    <row r="104" spans="1:28" s="65" customFormat="1" hidden="1" x14ac:dyDescent="0.2">
      <c r="A104" s="22"/>
      <c r="B104" s="64"/>
      <c r="C104" s="64"/>
      <c r="M104" s="33"/>
      <c r="N104" s="33"/>
      <c r="O104" s="33"/>
      <c r="P104" s="33"/>
    </row>
    <row r="105" spans="1:28" hidden="1" x14ac:dyDescent="0.2">
      <c r="M105" s="33"/>
      <c r="N105" s="33"/>
      <c r="O105" s="33"/>
      <c r="P105" s="33"/>
      <c r="Q105" s="65"/>
      <c r="R105" s="65"/>
    </row>
    <row r="106" spans="1:28" x14ac:dyDescent="0.2">
      <c r="B106" s="66" t="s">
        <v>84</v>
      </c>
      <c r="C106" s="66"/>
      <c r="M106" s="33"/>
      <c r="N106" s="33"/>
      <c r="O106" s="33"/>
      <c r="P106" s="33"/>
      <c r="Q106" s="65"/>
      <c r="R106" s="65"/>
    </row>
    <row r="107" spans="1:28" x14ac:dyDescent="0.2">
      <c r="M107" s="33"/>
      <c r="N107" s="33"/>
      <c r="O107" s="33"/>
      <c r="P107" s="33"/>
      <c r="Q107" s="65"/>
      <c r="R107" s="65"/>
    </row>
    <row r="108" spans="1:28" x14ac:dyDescent="0.2">
      <c r="M108" s="33"/>
      <c r="N108" s="33"/>
      <c r="O108" s="33"/>
      <c r="P108" s="33"/>
      <c r="Q108" s="65"/>
      <c r="R108" s="65"/>
    </row>
    <row r="109" spans="1:28" x14ac:dyDescent="0.2">
      <c r="B109" s="259" t="s">
        <v>85</v>
      </c>
      <c r="C109" s="259"/>
      <c r="D109" s="259"/>
      <c r="F109" s="259" t="s">
        <v>86</v>
      </c>
      <c r="G109" s="259"/>
      <c r="H109" s="259"/>
      <c r="I109" s="259"/>
      <c r="J109" s="259"/>
      <c r="K109" s="259"/>
      <c r="M109" s="33"/>
      <c r="N109" s="33"/>
      <c r="O109" s="33"/>
      <c r="P109" s="33"/>
      <c r="Q109" s="65"/>
      <c r="R109" s="65"/>
    </row>
    <row r="111" spans="1:28" x14ac:dyDescent="0.2">
      <c r="B111" s="67"/>
      <c r="C111" s="67"/>
      <c r="D111" s="67"/>
      <c r="E111" s="67"/>
      <c r="F111" s="67"/>
      <c r="G111" s="67"/>
      <c r="H111" s="67"/>
      <c r="I111" s="67"/>
      <c r="J111" s="33"/>
      <c r="K111" s="33"/>
      <c r="L111" s="33"/>
      <c r="M111" s="33"/>
      <c r="N111" s="33"/>
      <c r="O111" s="33"/>
      <c r="P111" s="33"/>
      <c r="Q111" s="33"/>
      <c r="R111" s="33"/>
      <c r="S111" s="33"/>
      <c r="T111" s="31"/>
      <c r="U111" s="31"/>
      <c r="V111" s="31"/>
      <c r="W111" s="31"/>
      <c r="X111" s="31"/>
      <c r="Y111" s="31"/>
      <c r="Z111" s="31"/>
      <c r="AA111" s="31"/>
      <c r="AB111" s="31"/>
    </row>
    <row r="112" spans="1:28" x14ac:dyDescent="0.2">
      <c r="B112" s="67"/>
      <c r="C112" s="67"/>
      <c r="D112" s="67"/>
      <c r="E112" s="67"/>
      <c r="F112" s="67"/>
      <c r="G112" s="67"/>
      <c r="H112" s="67"/>
      <c r="I112" s="67"/>
      <c r="J112" s="33"/>
      <c r="K112" s="33"/>
      <c r="L112" s="33"/>
      <c r="M112" s="33"/>
      <c r="N112" s="33"/>
      <c r="O112" s="33"/>
      <c r="P112" s="33"/>
      <c r="Q112" s="33"/>
      <c r="R112" s="33"/>
      <c r="S112" s="33"/>
      <c r="T112" s="31"/>
      <c r="U112" s="31"/>
      <c r="V112" s="31"/>
      <c r="W112" s="31"/>
      <c r="X112" s="31"/>
      <c r="Y112" s="31"/>
      <c r="Z112" s="31"/>
      <c r="AA112" s="31"/>
      <c r="AB112" s="31"/>
    </row>
    <row r="113" spans="1:10" x14ac:dyDescent="0.2">
      <c r="B113" s="67"/>
      <c r="C113" s="67"/>
      <c r="D113" s="67"/>
      <c r="E113" s="67"/>
      <c r="F113" s="67"/>
      <c r="G113" s="67"/>
      <c r="H113" s="67"/>
      <c r="I113" s="67"/>
    </row>
    <row r="114" spans="1:10" x14ac:dyDescent="0.2">
      <c r="B114" s="67"/>
      <c r="C114" s="67"/>
      <c r="D114" s="67"/>
      <c r="E114" s="67"/>
      <c r="F114" s="67"/>
      <c r="G114" s="67"/>
      <c r="H114" s="67"/>
      <c r="I114" s="67"/>
    </row>
    <row r="115" spans="1:10" x14ac:dyDescent="0.2">
      <c r="B115" s="262" t="s">
        <v>144</v>
      </c>
      <c r="C115" s="262"/>
      <c r="D115" s="262"/>
      <c r="E115" s="262"/>
      <c r="F115" s="262"/>
      <c r="G115" s="262"/>
      <c r="H115" s="262"/>
      <c r="I115" s="262"/>
      <c r="J115" s="68"/>
    </row>
    <row r="116" spans="1:10" x14ac:dyDescent="0.2">
      <c r="B116" s="263" t="s">
        <v>145</v>
      </c>
      <c r="C116" s="263"/>
      <c r="D116" s="263"/>
      <c r="E116" s="263"/>
      <c r="F116" s="263"/>
      <c r="G116" s="263"/>
      <c r="H116" s="263"/>
      <c r="I116" s="263"/>
      <c r="J116" s="68"/>
    </row>
    <row r="117" spans="1:10" x14ac:dyDescent="0.2">
      <c r="B117" s="262" t="s">
        <v>146</v>
      </c>
      <c r="C117" s="262"/>
      <c r="D117" s="262"/>
      <c r="E117" s="262"/>
      <c r="F117" s="262"/>
      <c r="G117" s="262"/>
      <c r="H117" s="262"/>
      <c r="I117" s="262"/>
      <c r="J117" s="68"/>
    </row>
    <row r="118" spans="1:10" x14ac:dyDescent="0.2">
      <c r="B118" s="262" t="s">
        <v>147</v>
      </c>
      <c r="C118" s="262"/>
      <c r="D118" s="262"/>
      <c r="E118" s="262"/>
      <c r="F118" s="262"/>
      <c r="G118" s="262"/>
      <c r="H118" s="262"/>
      <c r="I118" s="262"/>
      <c r="J118" s="68"/>
    </row>
    <row r="119" spans="1:10" x14ac:dyDescent="0.2">
      <c r="B119" s="262" t="s">
        <v>148</v>
      </c>
      <c r="C119" s="262"/>
      <c r="D119" s="262"/>
      <c r="E119" s="262"/>
      <c r="F119" s="262"/>
      <c r="G119" s="262"/>
      <c r="H119" s="262"/>
      <c r="I119" s="262"/>
      <c r="J119" s="68"/>
    </row>
    <row r="120" spans="1:10" x14ac:dyDescent="0.2">
      <c r="B120" s="68"/>
      <c r="C120" s="68"/>
      <c r="D120" s="68"/>
      <c r="E120" s="68"/>
      <c r="F120" s="68"/>
      <c r="G120" s="68"/>
      <c r="H120" s="68"/>
      <c r="I120" s="68"/>
      <c r="J120" s="68"/>
    </row>
    <row r="121" spans="1:10" x14ac:dyDescent="0.2">
      <c r="B121" s="67"/>
      <c r="C121" s="67"/>
      <c r="D121" s="67"/>
      <c r="E121" s="67"/>
      <c r="F121" s="67"/>
      <c r="G121" s="67"/>
      <c r="H121" s="67"/>
      <c r="I121" s="67"/>
    </row>
    <row r="122" spans="1:10" x14ac:dyDescent="0.2">
      <c r="B122" s="67"/>
      <c r="C122" s="67"/>
      <c r="D122" s="67"/>
      <c r="E122" s="67"/>
      <c r="F122" s="67"/>
      <c r="G122" s="67"/>
      <c r="H122" s="67"/>
      <c r="I122" s="67"/>
    </row>
    <row r="123" spans="1:10" x14ac:dyDescent="0.2">
      <c r="B123" s="67"/>
      <c r="C123" s="67"/>
      <c r="D123" s="67"/>
      <c r="E123" s="67"/>
      <c r="F123" s="67"/>
      <c r="G123" s="67"/>
      <c r="H123" s="67"/>
      <c r="I123" s="67"/>
    </row>
    <row r="124" spans="1:10" x14ac:dyDescent="0.2">
      <c r="B124" s="67"/>
      <c r="C124" s="67"/>
      <c r="D124" s="67"/>
      <c r="E124" s="67"/>
      <c r="F124" s="67"/>
      <c r="G124" s="67"/>
      <c r="H124" s="67"/>
      <c r="I124" s="67"/>
    </row>
    <row r="126" spans="1:10" x14ac:dyDescent="0.2">
      <c r="A126" s="65"/>
    </row>
  </sheetData>
  <sheetProtection password="C931" sheet="1" selectLockedCells="1"/>
  <mergeCells count="86">
    <mergeCell ref="B85:C85"/>
    <mergeCell ref="B86:C86"/>
    <mergeCell ref="B75:C75"/>
    <mergeCell ref="B80:C80"/>
    <mergeCell ref="B81:C81"/>
    <mergeCell ref="B82:C82"/>
    <mergeCell ref="B83:C83"/>
    <mergeCell ref="B84:C84"/>
    <mergeCell ref="C11:D11"/>
    <mergeCell ref="B24:C24"/>
    <mergeCell ref="B25:C25"/>
    <mergeCell ref="B26:C26"/>
    <mergeCell ref="L1:L3"/>
    <mergeCell ref="I2:I3"/>
    <mergeCell ref="C6:D6"/>
    <mergeCell ref="C7:D7"/>
    <mergeCell ref="C8:D8"/>
    <mergeCell ref="C9:D9"/>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B62:C62"/>
    <mergeCell ref="B51:C51"/>
    <mergeCell ref="B52:C52"/>
    <mergeCell ref="B53:C53"/>
    <mergeCell ref="B54:C54"/>
    <mergeCell ref="B55:C55"/>
    <mergeCell ref="B56:C56"/>
    <mergeCell ref="B57:C57"/>
    <mergeCell ref="B58:C58"/>
    <mergeCell ref="B59:C59"/>
    <mergeCell ref="B60:C60"/>
    <mergeCell ref="B61:C61"/>
    <mergeCell ref="B116:I116"/>
    <mergeCell ref="B63:C63"/>
    <mergeCell ref="B64:C64"/>
    <mergeCell ref="B90:I98"/>
    <mergeCell ref="J91:K91"/>
    <mergeCell ref="J92:K92"/>
    <mergeCell ref="J93:K93"/>
    <mergeCell ref="J94:K94"/>
    <mergeCell ref="J95:K95"/>
    <mergeCell ref="J96:K96"/>
    <mergeCell ref="J97:K97"/>
    <mergeCell ref="J98:K98"/>
    <mergeCell ref="B76:C76"/>
    <mergeCell ref="B77:C77"/>
    <mergeCell ref="B78:C78"/>
    <mergeCell ref="B79:C79"/>
    <mergeCell ref="B118:I118"/>
    <mergeCell ref="B119:I119"/>
    <mergeCell ref="B65:C65"/>
    <mergeCell ref="B66:C66"/>
    <mergeCell ref="B67:C67"/>
    <mergeCell ref="B68:C68"/>
    <mergeCell ref="B69:C69"/>
    <mergeCell ref="B70:C70"/>
    <mergeCell ref="B71:C71"/>
    <mergeCell ref="B72:C72"/>
    <mergeCell ref="B117:I117"/>
    <mergeCell ref="B73:C73"/>
    <mergeCell ref="B74:C74"/>
    <mergeCell ref="B109:D109"/>
    <mergeCell ref="F109:K109"/>
    <mergeCell ref="B115:I115"/>
  </mergeCells>
  <hyperlinks>
    <hyperlink ref="L4" location="Input!A1" display="Return to Input" xr:uid="{00000000-0004-0000-1000-000000000000}"/>
  </hyperlinks>
  <printOptions horizontalCentered="1" verticalCentered="1"/>
  <pageMargins left="0.39370078740157483" right="0.39370078740157483" top="0" bottom="0" header="0.31496062992125984" footer="0.31496062992125984"/>
  <pageSetup scale="64" orientation="portrait" verticalDpi="4294967293"/>
  <rowBreaks count="1" manualBreakCount="1">
    <brk id="88" min="1" max="6"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pageSetUpPr fitToPage="1"/>
  </sheetPr>
  <dimension ref="A1:AB116"/>
  <sheetViews>
    <sheetView topLeftCell="A7" zoomScale="85" zoomScaleNormal="85" zoomScalePageLayoutView="85" workbookViewId="0">
      <selection activeCell="D29" sqref="D29:D76"/>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6.14062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f>INPUT!D47</f>
        <v>17314000</v>
      </c>
      <c r="D9" s="281"/>
      <c r="L9" s="31"/>
      <c r="M9" s="31"/>
      <c r="N9" s="31"/>
    </row>
    <row r="10" spans="2:28" x14ac:dyDescent="0.2">
      <c r="B10" s="147" t="s">
        <v>62</v>
      </c>
      <c r="C10" s="171" t="s">
        <v>236</v>
      </c>
      <c r="D10" s="172"/>
      <c r="L10" s="31"/>
      <c r="M10" s="31"/>
      <c r="N10" s="31"/>
    </row>
    <row r="11" spans="2:28" x14ac:dyDescent="0.2">
      <c r="B11" s="147"/>
      <c r="C11" s="171" t="s">
        <v>237</v>
      </c>
      <c r="D11" s="172"/>
      <c r="L11" s="31"/>
      <c r="M11" s="31"/>
      <c r="N11" s="31"/>
    </row>
    <row r="12" spans="2:28" ht="15.75" thickBot="1" x14ac:dyDescent="0.25">
      <c r="B12" s="148"/>
      <c r="C12" s="272" t="s">
        <v>196</v>
      </c>
      <c r="D12" s="273"/>
      <c r="L12" s="33"/>
      <c r="M12" s="33"/>
      <c r="N12" s="33"/>
    </row>
    <row r="13" spans="2:28" x14ac:dyDescent="0.2">
      <c r="E13" s="33"/>
      <c r="F13" s="33"/>
      <c r="G13" s="33"/>
      <c r="H13" s="33"/>
      <c r="I13" s="33"/>
      <c r="J13" s="33"/>
      <c r="K13" s="33"/>
      <c r="L13" s="86" t="s">
        <v>150</v>
      </c>
      <c r="M13" s="87">
        <v>0.02</v>
      </c>
      <c r="N13" s="33"/>
    </row>
    <row r="14" spans="2:28" x14ac:dyDescent="0.2">
      <c r="B14" s="34" t="s">
        <v>64</v>
      </c>
      <c r="C14" s="34"/>
      <c r="E14" s="33"/>
      <c r="F14" s="33"/>
      <c r="G14" s="33"/>
      <c r="H14" s="33"/>
      <c r="I14" s="33"/>
      <c r="J14" s="33"/>
      <c r="K14" s="33"/>
      <c r="L14" s="33"/>
      <c r="M14" s="87">
        <v>0</v>
      </c>
      <c r="N14" s="33"/>
    </row>
    <row r="15" spans="2:28" x14ac:dyDescent="0.2">
      <c r="B15" s="35" t="s">
        <v>152</v>
      </c>
      <c r="C15" s="36"/>
      <c r="D15" s="42">
        <f>IF(INPUT!$D$43="Sycamore Heights",INPUT!$D$47-SY_Mem_Cash!$H$2,INPUT!$D$47-SY_Mem_Cash!$H$1)</f>
        <v>16664000</v>
      </c>
      <c r="E15" s="38" t="e">
        <f>#REF!</f>
        <v>#REF!</v>
      </c>
      <c r="F15" s="39" t="e">
        <f>D15-E15</f>
        <v>#REF!</v>
      </c>
      <c r="G15" s="39" t="e">
        <f>E15-F15</f>
        <v>#REF!</v>
      </c>
      <c r="H15" s="39" t="e">
        <f>F15-G15</f>
        <v>#REF!</v>
      </c>
      <c r="I15" s="33"/>
      <c r="J15" s="33"/>
      <c r="K15" s="95"/>
      <c r="L15" s="33"/>
      <c r="M15" s="33"/>
      <c r="N15" s="33"/>
      <c r="O15" s="33"/>
      <c r="P15" s="33"/>
      <c r="Q15" s="33"/>
      <c r="R15" s="33"/>
      <c r="S15" s="33"/>
      <c r="T15" s="31"/>
      <c r="U15" s="31"/>
      <c r="V15" s="31"/>
      <c r="W15" s="31"/>
      <c r="X15" s="31"/>
      <c r="Y15" s="31"/>
      <c r="Z15" s="31"/>
      <c r="AA15" s="31"/>
      <c r="AB15" s="31"/>
    </row>
    <row r="16" spans="2:28" x14ac:dyDescent="0.2">
      <c r="B16" s="115">
        <f>IF(INPUT!$D$42="Repeat Buyer",Classic_Mem_Inst1!$L$13,Classic_Mem_Inst1!$L$14)</f>
        <v>0</v>
      </c>
      <c r="C16" s="97">
        <f>IF(B16=Classic_Mem_Inst1!$L$13,Classic_Mem_Inst1!$M$13,Classic_Mem_Inst1!$M$14)</f>
        <v>0</v>
      </c>
      <c r="D16" s="42">
        <f>D15*C16</f>
        <v>0</v>
      </c>
      <c r="E16" s="38"/>
      <c r="F16" s="39"/>
      <c r="G16" s="39"/>
      <c r="H16" s="39"/>
      <c r="I16" s="33"/>
      <c r="J16" s="33"/>
      <c r="K16" s="95"/>
      <c r="L16" s="33"/>
      <c r="M16" s="33"/>
      <c r="N16" s="33"/>
      <c r="O16" s="33"/>
      <c r="P16" s="33"/>
      <c r="Q16" s="33"/>
      <c r="R16" s="33"/>
      <c r="S16" s="33"/>
      <c r="T16" s="31"/>
      <c r="U16" s="31"/>
      <c r="V16" s="31"/>
      <c r="W16" s="31"/>
      <c r="X16" s="31"/>
      <c r="Y16" s="31"/>
      <c r="Z16" s="31"/>
      <c r="AA16" s="31"/>
      <c r="AB16" s="31"/>
    </row>
    <row r="17" spans="2:28" hidden="1" x14ac:dyDescent="0.2">
      <c r="B17" s="115"/>
      <c r="C17" s="69"/>
      <c r="D17" s="42"/>
      <c r="E17" s="38"/>
      <c r="F17" s="39"/>
      <c r="G17" s="39"/>
      <c r="H17" s="39"/>
      <c r="I17" s="33"/>
      <c r="J17" s="33"/>
      <c r="K17" s="95"/>
      <c r="L17" s="116"/>
      <c r="M17" s="117"/>
      <c r="N17" s="33"/>
      <c r="O17" s="33"/>
      <c r="P17" s="33"/>
      <c r="Q17" s="33"/>
      <c r="R17" s="33"/>
      <c r="S17" s="33"/>
      <c r="T17" s="33"/>
      <c r="U17" s="33"/>
      <c r="V17" s="31"/>
      <c r="W17" s="31"/>
      <c r="X17" s="31"/>
      <c r="Y17" s="31"/>
      <c r="Z17" s="31"/>
      <c r="AA17" s="31"/>
      <c r="AB17" s="31"/>
    </row>
    <row r="18" spans="2:28" hidden="1" x14ac:dyDescent="0.2">
      <c r="B18" s="115"/>
      <c r="C18" s="69"/>
      <c r="D18" s="42"/>
      <c r="E18" s="38"/>
      <c r="F18" s="39"/>
      <c r="G18" s="39"/>
      <c r="H18" s="39"/>
      <c r="I18" s="33"/>
      <c r="J18" s="33"/>
      <c r="K18" s="95"/>
      <c r="L18" s="33"/>
      <c r="M18" s="117"/>
      <c r="N18" s="33"/>
      <c r="O18" s="33"/>
      <c r="P18" s="33"/>
      <c r="Q18" s="33"/>
      <c r="R18" s="33"/>
      <c r="S18" s="33"/>
      <c r="T18" s="33"/>
      <c r="U18" s="33"/>
      <c r="V18" s="31"/>
      <c r="W18" s="31"/>
      <c r="X18" s="31"/>
      <c r="Y18" s="31"/>
      <c r="Z18" s="31"/>
      <c r="AA18" s="31"/>
      <c r="AB18" s="31"/>
    </row>
    <row r="19" spans="2:28" hidden="1" x14ac:dyDescent="0.2">
      <c r="B19" s="115"/>
      <c r="C19" s="69"/>
      <c r="D19" s="42"/>
      <c r="E19" s="38"/>
      <c r="F19" s="39"/>
      <c r="G19" s="39"/>
      <c r="H19" s="39"/>
      <c r="I19" s="33"/>
      <c r="J19" s="33"/>
      <c r="K19" s="95"/>
      <c r="L19" s="33"/>
      <c r="M19" s="33"/>
      <c r="N19" s="33"/>
      <c r="O19" s="33"/>
      <c r="P19" s="33"/>
      <c r="Q19" s="33"/>
      <c r="R19" s="33"/>
      <c r="S19" s="33"/>
      <c r="T19" s="33"/>
      <c r="U19" s="33"/>
      <c r="V19" s="31"/>
      <c r="W19" s="31"/>
      <c r="X19" s="31"/>
      <c r="Y19" s="31"/>
      <c r="Z19" s="31"/>
      <c r="AA19" s="31"/>
      <c r="AB19" s="31"/>
    </row>
    <row r="20" spans="2:28" hidden="1" x14ac:dyDescent="0.2">
      <c r="B20" s="114"/>
      <c r="C20" s="102"/>
      <c r="D20" s="112"/>
      <c r="E20" s="38"/>
      <c r="F20" s="39"/>
      <c r="G20" s="39"/>
      <c r="H20" s="39"/>
      <c r="I20" s="33"/>
      <c r="J20" s="33"/>
      <c r="K20" s="95"/>
      <c r="L20" s="33"/>
      <c r="M20" s="33"/>
      <c r="N20" s="33"/>
      <c r="O20" s="33"/>
      <c r="P20" s="31"/>
      <c r="Q20" s="33"/>
      <c r="R20" s="33"/>
      <c r="S20" s="33"/>
      <c r="T20" s="33"/>
      <c r="U20" s="33"/>
      <c r="V20" s="31"/>
      <c r="W20" s="31"/>
      <c r="X20" s="31"/>
      <c r="Y20" s="31"/>
      <c r="Z20" s="31"/>
      <c r="AA20" s="31"/>
      <c r="AB20" s="31"/>
    </row>
    <row r="21" spans="2:28" x14ac:dyDescent="0.2">
      <c r="B21" s="40" t="s">
        <v>68</v>
      </c>
      <c r="C21" s="97">
        <v>0.05</v>
      </c>
      <c r="D21" s="42">
        <f>((D15-D17-D18-D19-D20-D16)/1.12)*C21</f>
        <v>743928.57142857136</v>
      </c>
      <c r="E21" s="44"/>
      <c r="F21" s="39"/>
      <c r="G21" s="39"/>
      <c r="H21" s="39"/>
      <c r="I21" s="33"/>
      <c r="J21" s="33"/>
      <c r="K21" s="95"/>
      <c r="L21" s="33"/>
      <c r="M21" s="33"/>
      <c r="N21" s="33"/>
      <c r="O21" s="33"/>
      <c r="P21" s="33"/>
      <c r="Q21" s="33"/>
      <c r="R21" s="33"/>
      <c r="S21" s="33"/>
      <c r="T21" s="31"/>
      <c r="U21" s="31"/>
      <c r="V21" s="31"/>
      <c r="W21" s="31"/>
      <c r="X21" s="31"/>
      <c r="Y21" s="31"/>
      <c r="Z21" s="31"/>
      <c r="AA21" s="31"/>
      <c r="AB21" s="31"/>
    </row>
    <row r="22" spans="2:28" x14ac:dyDescent="0.2">
      <c r="B22" s="40" t="str">
        <f>IF(INPUT!$D$43="Sycamore Heights",SY_Mem_Cash!$E$2,SY_Mem_Cash!$E$1)</f>
        <v>Add: TCCATH Share</v>
      </c>
      <c r="C22" s="97"/>
      <c r="D22" s="42">
        <f>IF(INPUT!$D$43="Sycamore Heights",SY_Mem_Cash!$H$2,SY_Mem_Cash!$H$1)</f>
        <v>650000</v>
      </c>
      <c r="E22" s="44"/>
      <c r="F22" s="39"/>
      <c r="G22" s="39"/>
      <c r="H22" s="39"/>
      <c r="I22" s="33"/>
      <c r="J22" s="33"/>
      <c r="K22" s="95"/>
      <c r="L22" s="33"/>
      <c r="M22" s="33"/>
      <c r="N22" s="33"/>
      <c r="O22" s="33"/>
      <c r="P22" s="33"/>
      <c r="Q22" s="33"/>
      <c r="R22" s="33"/>
      <c r="S22" s="33"/>
      <c r="T22" s="31"/>
      <c r="U22" s="31"/>
      <c r="V22" s="31"/>
      <c r="W22" s="31"/>
      <c r="X22" s="31"/>
      <c r="Y22" s="31"/>
      <c r="Z22" s="31"/>
      <c r="AA22" s="31"/>
      <c r="AB22" s="31"/>
    </row>
    <row r="23" spans="2:28" ht="15.75" thickBot="1" x14ac:dyDescent="0.25">
      <c r="B23" s="45" t="s">
        <v>69</v>
      </c>
      <c r="C23" s="46"/>
      <c r="D23" s="47">
        <f>(D15-D17-D18-D19-D20-D16+D22+D21)</f>
        <v>18057928.571428571</v>
      </c>
      <c r="E23" s="38"/>
      <c r="F23" s="39"/>
      <c r="G23" s="39"/>
      <c r="H23" s="39"/>
      <c r="I23" s="33"/>
      <c r="J23" s="33"/>
      <c r="K23" s="95"/>
      <c r="L23" s="33"/>
      <c r="M23" s="33"/>
      <c r="N23" s="33"/>
      <c r="O23" s="33"/>
      <c r="P23" s="33"/>
      <c r="Q23" s="33"/>
      <c r="R23" s="33"/>
      <c r="S23" s="33"/>
      <c r="T23" s="31"/>
      <c r="U23" s="31"/>
      <c r="V23" s="31"/>
      <c r="W23" s="31"/>
      <c r="X23" s="31"/>
      <c r="Y23" s="31"/>
      <c r="Z23" s="31"/>
      <c r="AA23" s="31"/>
      <c r="AB23" s="31"/>
    </row>
    <row r="24" spans="2:28" ht="16.5" thickTop="1" thickBot="1" x14ac:dyDescent="0.25"/>
    <row r="25" spans="2:28" ht="15.75" thickBot="1" x14ac:dyDescent="0.25">
      <c r="B25" s="274" t="s">
        <v>70</v>
      </c>
      <c r="C25" s="275"/>
      <c r="D25" s="78" t="s">
        <v>71</v>
      </c>
      <c r="E25" s="78" t="s">
        <v>72</v>
      </c>
      <c r="F25" s="78" t="s">
        <v>73</v>
      </c>
      <c r="G25" s="78" t="s">
        <v>74</v>
      </c>
      <c r="H25" s="78" t="s">
        <v>75</v>
      </c>
      <c r="I25" s="79" t="s">
        <v>76</v>
      </c>
      <c r="J25" s="33"/>
      <c r="K25" s="33"/>
      <c r="L25" s="33"/>
      <c r="M25" s="33"/>
      <c r="N25" s="33"/>
    </row>
    <row r="26" spans="2:28" x14ac:dyDescent="0.2">
      <c r="B26" s="302">
        <v>0</v>
      </c>
      <c r="C26" s="303"/>
      <c r="D26" s="50">
        <v>44917</v>
      </c>
      <c r="E26" s="173" t="s">
        <v>77</v>
      </c>
      <c r="F26" s="51">
        <v>50000</v>
      </c>
      <c r="G26" s="51"/>
      <c r="H26" s="51">
        <f>SUM(F26:G26)</f>
        <v>50000</v>
      </c>
      <c r="I26" s="52">
        <f>D23-H26</f>
        <v>18007928.571428571</v>
      </c>
      <c r="J26" s="53" t="s">
        <v>78</v>
      </c>
      <c r="K26" s="33"/>
      <c r="L26" s="38">
        <v>56000</v>
      </c>
      <c r="M26" s="39">
        <f>L26-F26</f>
        <v>6000</v>
      </c>
      <c r="N26" s="33"/>
    </row>
    <row r="27" spans="2:28" hidden="1" x14ac:dyDescent="0.2">
      <c r="B27" s="290"/>
      <c r="C27" s="265"/>
      <c r="D27" s="70">
        <v>44948</v>
      </c>
      <c r="E27" s="74" t="s">
        <v>79</v>
      </c>
      <c r="F27" s="75"/>
      <c r="G27" s="75"/>
      <c r="H27" s="75">
        <v>0</v>
      </c>
      <c r="I27" s="76">
        <f>I26-H27</f>
        <v>18007928.571428571</v>
      </c>
      <c r="J27" s="53"/>
      <c r="K27" s="33"/>
      <c r="L27" s="38"/>
      <c r="M27" s="39"/>
      <c r="N27" s="33"/>
    </row>
    <row r="28" spans="2:28" x14ac:dyDescent="0.2">
      <c r="B28" s="290">
        <f>B27+1</f>
        <v>1</v>
      </c>
      <c r="C28" s="265"/>
      <c r="D28" s="70">
        <f>EDATE(D26,1)</f>
        <v>44948</v>
      </c>
      <c r="E28" s="170" t="s">
        <v>160</v>
      </c>
      <c r="F28" s="71">
        <f>ROUND((((D23-D21)*10%)-F26),2)/10</f>
        <v>168140</v>
      </c>
      <c r="G28" s="71">
        <f>ROUND(((D21*10%)-G26),2)/10</f>
        <v>7439.2860000000001</v>
      </c>
      <c r="H28" s="71">
        <f>SUM(F28:G28)</f>
        <v>175579.28599999999</v>
      </c>
      <c r="I28" s="76">
        <f>I27-H28</f>
        <v>17832349.285428572</v>
      </c>
      <c r="J28" s="53"/>
      <c r="K28" s="33"/>
      <c r="L28" s="38"/>
      <c r="M28" s="39"/>
      <c r="N28" s="33"/>
    </row>
    <row r="29" spans="2:28" x14ac:dyDescent="0.2">
      <c r="B29" s="290">
        <f t="shared" ref="B29:B76" si="0">B28+1</f>
        <v>2</v>
      </c>
      <c r="C29" s="265"/>
      <c r="D29" s="70">
        <f>EDATE(D28,1)</f>
        <v>44979</v>
      </c>
      <c r="E29" s="170" t="s">
        <v>161</v>
      </c>
      <c r="F29" s="71">
        <f>F28</f>
        <v>168140</v>
      </c>
      <c r="G29" s="71">
        <f>G28</f>
        <v>7439.2860000000001</v>
      </c>
      <c r="H29" s="71">
        <f t="shared" ref="H29:H37" si="1">SUM(F29:G29)</f>
        <v>175579.28599999999</v>
      </c>
      <c r="I29" s="72">
        <f t="shared" ref="I29:I76" si="2">I28-H29</f>
        <v>17656769.999428574</v>
      </c>
      <c r="J29" s="53"/>
      <c r="K29" s="33"/>
      <c r="L29" s="38"/>
      <c r="M29" s="39"/>
      <c r="N29" s="33"/>
    </row>
    <row r="30" spans="2:28" x14ac:dyDescent="0.2">
      <c r="B30" s="290">
        <f t="shared" si="0"/>
        <v>3</v>
      </c>
      <c r="C30" s="265"/>
      <c r="D30" s="70">
        <f t="shared" ref="D30:D76" si="3">EDATE(D29,1)</f>
        <v>45007</v>
      </c>
      <c r="E30" s="170" t="s">
        <v>162</v>
      </c>
      <c r="F30" s="71">
        <f>F29</f>
        <v>168140</v>
      </c>
      <c r="G30" s="71">
        <f>G29</f>
        <v>7439.2860000000001</v>
      </c>
      <c r="H30" s="71">
        <f t="shared" si="1"/>
        <v>175579.28599999999</v>
      </c>
      <c r="I30" s="72">
        <f t="shared" si="2"/>
        <v>17481190.713428576</v>
      </c>
      <c r="J30" s="53"/>
      <c r="K30" s="33"/>
      <c r="L30" s="38"/>
      <c r="M30" s="39"/>
      <c r="N30" s="33"/>
    </row>
    <row r="31" spans="2:28" x14ac:dyDescent="0.2">
      <c r="B31" s="290">
        <f t="shared" si="0"/>
        <v>4</v>
      </c>
      <c r="C31" s="265"/>
      <c r="D31" s="70">
        <f t="shared" si="3"/>
        <v>45038</v>
      </c>
      <c r="E31" s="170" t="s">
        <v>163</v>
      </c>
      <c r="F31" s="71">
        <f t="shared" ref="F31:F37" si="4">F30</f>
        <v>168140</v>
      </c>
      <c r="G31" s="71">
        <f t="shared" ref="G31:G37" si="5">G30</f>
        <v>7439.2860000000001</v>
      </c>
      <c r="H31" s="71">
        <f t="shared" si="1"/>
        <v>175579.28599999999</v>
      </c>
      <c r="I31" s="72">
        <f t="shared" si="2"/>
        <v>17305611.427428577</v>
      </c>
      <c r="J31" s="53"/>
      <c r="K31" s="33"/>
      <c r="L31" s="38"/>
      <c r="M31" s="39"/>
      <c r="N31" s="33"/>
    </row>
    <row r="32" spans="2:28" x14ac:dyDescent="0.2">
      <c r="B32" s="290">
        <f t="shared" si="0"/>
        <v>5</v>
      </c>
      <c r="C32" s="265"/>
      <c r="D32" s="70">
        <f t="shared" si="3"/>
        <v>45068</v>
      </c>
      <c r="E32" s="170" t="s">
        <v>164</v>
      </c>
      <c r="F32" s="71">
        <f t="shared" si="4"/>
        <v>168140</v>
      </c>
      <c r="G32" s="71">
        <f t="shared" si="5"/>
        <v>7439.2860000000001</v>
      </c>
      <c r="H32" s="71">
        <f t="shared" si="1"/>
        <v>175579.28599999999</v>
      </c>
      <c r="I32" s="72">
        <f t="shared" si="2"/>
        <v>17130032.141428579</v>
      </c>
      <c r="J32" s="53"/>
      <c r="K32" s="33"/>
      <c r="L32" s="38"/>
      <c r="M32" s="39"/>
      <c r="N32" s="33"/>
    </row>
    <row r="33" spans="2:14" x14ac:dyDescent="0.2">
      <c r="B33" s="290">
        <f t="shared" si="0"/>
        <v>6</v>
      </c>
      <c r="C33" s="265"/>
      <c r="D33" s="70">
        <f t="shared" si="3"/>
        <v>45099</v>
      </c>
      <c r="E33" s="170" t="s">
        <v>165</v>
      </c>
      <c r="F33" s="71">
        <f t="shared" si="4"/>
        <v>168140</v>
      </c>
      <c r="G33" s="71">
        <f t="shared" si="5"/>
        <v>7439.2860000000001</v>
      </c>
      <c r="H33" s="71">
        <f t="shared" si="1"/>
        <v>175579.28599999999</v>
      </c>
      <c r="I33" s="72">
        <f t="shared" si="2"/>
        <v>16954452.85542858</v>
      </c>
      <c r="J33" s="53"/>
      <c r="K33" s="33"/>
      <c r="L33" s="38"/>
      <c r="M33" s="39"/>
      <c r="N33" s="33"/>
    </row>
    <row r="34" spans="2:14" x14ac:dyDescent="0.2">
      <c r="B34" s="290">
        <f t="shared" si="0"/>
        <v>7</v>
      </c>
      <c r="C34" s="265"/>
      <c r="D34" s="70">
        <f t="shared" si="3"/>
        <v>45129</v>
      </c>
      <c r="E34" s="170" t="s">
        <v>166</v>
      </c>
      <c r="F34" s="71">
        <f t="shared" si="4"/>
        <v>168140</v>
      </c>
      <c r="G34" s="71">
        <f t="shared" si="5"/>
        <v>7439.2860000000001</v>
      </c>
      <c r="H34" s="71">
        <f t="shared" si="1"/>
        <v>175579.28599999999</v>
      </c>
      <c r="I34" s="72">
        <f t="shared" si="2"/>
        <v>16778873.569428582</v>
      </c>
      <c r="J34" s="53"/>
      <c r="K34" s="33"/>
      <c r="L34" s="38"/>
      <c r="M34" s="39"/>
      <c r="N34" s="33"/>
    </row>
    <row r="35" spans="2:14" x14ac:dyDescent="0.2">
      <c r="B35" s="290">
        <f t="shared" si="0"/>
        <v>8</v>
      </c>
      <c r="C35" s="265"/>
      <c r="D35" s="70">
        <f t="shared" si="3"/>
        <v>45160</v>
      </c>
      <c r="E35" s="170" t="s">
        <v>167</v>
      </c>
      <c r="F35" s="71">
        <f t="shared" si="4"/>
        <v>168140</v>
      </c>
      <c r="G35" s="71">
        <f t="shared" si="5"/>
        <v>7439.2860000000001</v>
      </c>
      <c r="H35" s="71">
        <f t="shared" si="1"/>
        <v>175579.28599999999</v>
      </c>
      <c r="I35" s="72">
        <f t="shared" si="2"/>
        <v>16603294.283428581</v>
      </c>
      <c r="J35" s="53"/>
      <c r="K35" s="33"/>
      <c r="L35" s="38"/>
      <c r="M35" s="39"/>
      <c r="N35" s="33"/>
    </row>
    <row r="36" spans="2:14" x14ac:dyDescent="0.2">
      <c r="B36" s="290">
        <f t="shared" si="0"/>
        <v>9</v>
      </c>
      <c r="C36" s="265"/>
      <c r="D36" s="70">
        <f t="shared" si="3"/>
        <v>45191</v>
      </c>
      <c r="E36" s="170" t="s">
        <v>168</v>
      </c>
      <c r="F36" s="71">
        <f t="shared" si="4"/>
        <v>168140</v>
      </c>
      <c r="G36" s="71">
        <f t="shared" si="5"/>
        <v>7439.2860000000001</v>
      </c>
      <c r="H36" s="71">
        <f t="shared" si="1"/>
        <v>175579.28599999999</v>
      </c>
      <c r="I36" s="72">
        <f t="shared" si="2"/>
        <v>16427714.997428581</v>
      </c>
      <c r="J36" s="53"/>
      <c r="K36" s="33"/>
      <c r="L36" s="38"/>
      <c r="M36" s="39"/>
      <c r="N36" s="33"/>
    </row>
    <row r="37" spans="2:14" x14ac:dyDescent="0.2">
      <c r="B37" s="290">
        <f t="shared" si="0"/>
        <v>10</v>
      </c>
      <c r="C37" s="265"/>
      <c r="D37" s="70">
        <f t="shared" si="3"/>
        <v>45221</v>
      </c>
      <c r="E37" s="170" t="s">
        <v>169</v>
      </c>
      <c r="F37" s="71">
        <f t="shared" si="4"/>
        <v>168140</v>
      </c>
      <c r="G37" s="71">
        <f t="shared" si="5"/>
        <v>7439.2860000000001</v>
      </c>
      <c r="H37" s="71">
        <f t="shared" si="1"/>
        <v>175579.28599999999</v>
      </c>
      <c r="I37" s="72">
        <f t="shared" si="2"/>
        <v>16252135.711428581</v>
      </c>
      <c r="J37" s="53"/>
      <c r="K37" s="33"/>
      <c r="L37" s="38"/>
      <c r="M37" s="39"/>
      <c r="N37" s="33"/>
    </row>
    <row r="38" spans="2:14" x14ac:dyDescent="0.2">
      <c r="B38" s="290">
        <f t="shared" si="0"/>
        <v>11</v>
      </c>
      <c r="C38" s="265"/>
      <c r="D38" s="70">
        <f t="shared" si="3"/>
        <v>45252</v>
      </c>
      <c r="E38" s="170" t="s">
        <v>160</v>
      </c>
      <c r="F38" s="71">
        <f>((D15-D16+D22)*50%)/38</f>
        <v>227815.78947368421</v>
      </c>
      <c r="G38" s="71">
        <f>((D21*50%)/38)</f>
        <v>9788.5338345864657</v>
      </c>
      <c r="H38" s="71">
        <f>SUM(F38:G38)</f>
        <v>237604.32330827069</v>
      </c>
      <c r="I38" s="72">
        <f t="shared" si="2"/>
        <v>16014531.38812031</v>
      </c>
      <c r="J38" s="53"/>
      <c r="K38" s="33"/>
      <c r="L38" s="38"/>
      <c r="M38" s="39"/>
      <c r="N38" s="33"/>
    </row>
    <row r="39" spans="2:14" x14ac:dyDescent="0.2">
      <c r="B39" s="290">
        <f t="shared" si="0"/>
        <v>12</v>
      </c>
      <c r="C39" s="265"/>
      <c r="D39" s="70">
        <f t="shared" si="3"/>
        <v>45282</v>
      </c>
      <c r="E39" s="170" t="s">
        <v>161</v>
      </c>
      <c r="F39" s="71">
        <f t="shared" ref="F39:G54" si="6">F38</f>
        <v>227815.78947368421</v>
      </c>
      <c r="G39" s="71">
        <f t="shared" si="6"/>
        <v>9788.5338345864657</v>
      </c>
      <c r="H39" s="71">
        <f t="shared" ref="H39:H76" si="7">SUM(F39:G39)</f>
        <v>237604.32330827069</v>
      </c>
      <c r="I39" s="72">
        <f t="shared" si="2"/>
        <v>15776927.06481204</v>
      </c>
      <c r="J39" s="53"/>
      <c r="K39" s="33"/>
      <c r="L39" s="38"/>
      <c r="M39" s="39"/>
      <c r="N39" s="33"/>
    </row>
    <row r="40" spans="2:14" x14ac:dyDescent="0.2">
      <c r="B40" s="290">
        <f t="shared" si="0"/>
        <v>13</v>
      </c>
      <c r="C40" s="265"/>
      <c r="D40" s="70">
        <f t="shared" si="3"/>
        <v>45313</v>
      </c>
      <c r="E40" s="170" t="s">
        <v>162</v>
      </c>
      <c r="F40" s="71">
        <f t="shared" si="6"/>
        <v>227815.78947368421</v>
      </c>
      <c r="G40" s="71">
        <f t="shared" si="6"/>
        <v>9788.5338345864657</v>
      </c>
      <c r="H40" s="71">
        <f t="shared" si="7"/>
        <v>237604.32330827069</v>
      </c>
      <c r="I40" s="72">
        <f t="shared" si="2"/>
        <v>15539322.74150377</v>
      </c>
      <c r="J40" s="53"/>
      <c r="K40" s="33"/>
      <c r="L40" s="38"/>
      <c r="M40" s="39"/>
      <c r="N40" s="33"/>
    </row>
    <row r="41" spans="2:14" x14ac:dyDescent="0.2">
      <c r="B41" s="290">
        <f t="shared" si="0"/>
        <v>14</v>
      </c>
      <c r="C41" s="265"/>
      <c r="D41" s="70">
        <f t="shared" si="3"/>
        <v>45344</v>
      </c>
      <c r="E41" s="170" t="s">
        <v>163</v>
      </c>
      <c r="F41" s="71">
        <f t="shared" si="6"/>
        <v>227815.78947368421</v>
      </c>
      <c r="G41" s="71">
        <f t="shared" si="6"/>
        <v>9788.5338345864657</v>
      </c>
      <c r="H41" s="71">
        <f t="shared" si="7"/>
        <v>237604.32330827069</v>
      </c>
      <c r="I41" s="72">
        <f t="shared" si="2"/>
        <v>15301718.418195499</v>
      </c>
      <c r="J41" s="53"/>
      <c r="K41" s="33"/>
      <c r="L41" s="38"/>
      <c r="M41" s="39"/>
      <c r="N41" s="33"/>
    </row>
    <row r="42" spans="2:14" x14ac:dyDescent="0.2">
      <c r="B42" s="290">
        <f t="shared" si="0"/>
        <v>15</v>
      </c>
      <c r="C42" s="265"/>
      <c r="D42" s="70">
        <f t="shared" si="3"/>
        <v>45373</v>
      </c>
      <c r="E42" s="170" t="s">
        <v>164</v>
      </c>
      <c r="F42" s="71">
        <f t="shared" si="6"/>
        <v>227815.78947368421</v>
      </c>
      <c r="G42" s="71">
        <f t="shared" si="6"/>
        <v>9788.5338345864657</v>
      </c>
      <c r="H42" s="71">
        <f t="shared" si="7"/>
        <v>237604.32330827069</v>
      </c>
      <c r="I42" s="72">
        <f t="shared" si="2"/>
        <v>15064114.094887229</v>
      </c>
      <c r="J42" s="53"/>
      <c r="K42" s="33"/>
      <c r="L42" s="38"/>
      <c r="M42" s="39"/>
      <c r="N42" s="33"/>
    </row>
    <row r="43" spans="2:14" x14ac:dyDescent="0.2">
      <c r="B43" s="290">
        <f t="shared" si="0"/>
        <v>16</v>
      </c>
      <c r="C43" s="265"/>
      <c r="D43" s="70">
        <f t="shared" si="3"/>
        <v>45404</v>
      </c>
      <c r="E43" s="170" t="s">
        <v>165</v>
      </c>
      <c r="F43" s="71">
        <f t="shared" si="6"/>
        <v>227815.78947368421</v>
      </c>
      <c r="G43" s="71">
        <f t="shared" si="6"/>
        <v>9788.5338345864657</v>
      </c>
      <c r="H43" s="71">
        <f t="shared" si="7"/>
        <v>237604.32330827069</v>
      </c>
      <c r="I43" s="72">
        <f t="shared" si="2"/>
        <v>14826509.771578958</v>
      </c>
      <c r="J43" s="53"/>
      <c r="K43" s="33"/>
      <c r="L43" s="38"/>
      <c r="M43" s="39"/>
      <c r="N43" s="33"/>
    </row>
    <row r="44" spans="2:14" x14ac:dyDescent="0.2">
      <c r="B44" s="290">
        <f t="shared" si="0"/>
        <v>17</v>
      </c>
      <c r="C44" s="265"/>
      <c r="D44" s="70">
        <f t="shared" si="3"/>
        <v>45434</v>
      </c>
      <c r="E44" s="170" t="s">
        <v>166</v>
      </c>
      <c r="F44" s="71">
        <f t="shared" si="6"/>
        <v>227815.78947368421</v>
      </c>
      <c r="G44" s="71">
        <f t="shared" si="6"/>
        <v>9788.5338345864657</v>
      </c>
      <c r="H44" s="71">
        <f t="shared" si="7"/>
        <v>237604.32330827069</v>
      </c>
      <c r="I44" s="72">
        <f t="shared" si="2"/>
        <v>14588905.448270688</v>
      </c>
      <c r="J44" s="53"/>
      <c r="K44" s="33"/>
      <c r="L44" s="38"/>
      <c r="M44" s="39"/>
      <c r="N44" s="33"/>
    </row>
    <row r="45" spans="2:14" x14ac:dyDescent="0.2">
      <c r="B45" s="290">
        <f t="shared" si="0"/>
        <v>18</v>
      </c>
      <c r="C45" s="265"/>
      <c r="D45" s="70">
        <f t="shared" si="3"/>
        <v>45465</v>
      </c>
      <c r="E45" s="170" t="s">
        <v>167</v>
      </c>
      <c r="F45" s="71">
        <f t="shared" si="6"/>
        <v>227815.78947368421</v>
      </c>
      <c r="G45" s="71">
        <f t="shared" si="6"/>
        <v>9788.5338345864657</v>
      </c>
      <c r="H45" s="71">
        <f t="shared" si="7"/>
        <v>237604.32330827069</v>
      </c>
      <c r="I45" s="72">
        <f t="shared" si="2"/>
        <v>14351301.124962417</v>
      </c>
      <c r="J45" s="53"/>
      <c r="K45" s="33"/>
      <c r="L45" s="38"/>
      <c r="M45" s="39"/>
      <c r="N45" s="33"/>
    </row>
    <row r="46" spans="2:14" x14ac:dyDescent="0.2">
      <c r="B46" s="290">
        <f t="shared" si="0"/>
        <v>19</v>
      </c>
      <c r="C46" s="265"/>
      <c r="D46" s="70">
        <f t="shared" si="3"/>
        <v>45495</v>
      </c>
      <c r="E46" s="170" t="s">
        <v>168</v>
      </c>
      <c r="F46" s="71">
        <f t="shared" si="6"/>
        <v>227815.78947368421</v>
      </c>
      <c r="G46" s="71">
        <f t="shared" si="6"/>
        <v>9788.5338345864657</v>
      </c>
      <c r="H46" s="71">
        <f t="shared" si="7"/>
        <v>237604.32330827069</v>
      </c>
      <c r="I46" s="72">
        <f t="shared" si="2"/>
        <v>14113696.801654147</v>
      </c>
      <c r="J46" s="53"/>
      <c r="K46" s="33"/>
      <c r="L46" s="38"/>
      <c r="M46" s="39"/>
      <c r="N46" s="33"/>
    </row>
    <row r="47" spans="2:14" x14ac:dyDescent="0.2">
      <c r="B47" s="290">
        <f t="shared" si="0"/>
        <v>20</v>
      </c>
      <c r="C47" s="265"/>
      <c r="D47" s="70">
        <f t="shared" si="3"/>
        <v>45526</v>
      </c>
      <c r="E47" s="170" t="s">
        <v>169</v>
      </c>
      <c r="F47" s="71">
        <f t="shared" si="6"/>
        <v>227815.78947368421</v>
      </c>
      <c r="G47" s="71">
        <f t="shared" si="6"/>
        <v>9788.5338345864657</v>
      </c>
      <c r="H47" s="71">
        <f t="shared" si="7"/>
        <v>237604.32330827069</v>
      </c>
      <c r="I47" s="72">
        <f t="shared" si="2"/>
        <v>13876092.478345877</v>
      </c>
      <c r="J47" s="53"/>
      <c r="K47" s="33"/>
      <c r="L47" s="38"/>
      <c r="M47" s="39"/>
      <c r="N47" s="33"/>
    </row>
    <row r="48" spans="2:14" x14ac:dyDescent="0.2">
      <c r="B48" s="290">
        <f t="shared" si="0"/>
        <v>21</v>
      </c>
      <c r="C48" s="265"/>
      <c r="D48" s="70">
        <f t="shared" si="3"/>
        <v>45557</v>
      </c>
      <c r="E48" s="170" t="s">
        <v>170</v>
      </c>
      <c r="F48" s="71">
        <f t="shared" si="6"/>
        <v>227815.78947368421</v>
      </c>
      <c r="G48" s="71">
        <f t="shared" si="6"/>
        <v>9788.5338345864657</v>
      </c>
      <c r="H48" s="71">
        <f t="shared" si="7"/>
        <v>237604.32330827069</v>
      </c>
      <c r="I48" s="72">
        <f t="shared" si="2"/>
        <v>13638488.155037606</v>
      </c>
      <c r="J48" s="53"/>
      <c r="K48" s="33"/>
      <c r="L48" s="38"/>
      <c r="M48" s="39"/>
      <c r="N48" s="33"/>
    </row>
    <row r="49" spans="2:14" x14ac:dyDescent="0.2">
      <c r="B49" s="290">
        <f t="shared" si="0"/>
        <v>22</v>
      </c>
      <c r="C49" s="265"/>
      <c r="D49" s="70">
        <f t="shared" si="3"/>
        <v>45587</v>
      </c>
      <c r="E49" s="170" t="s">
        <v>171</v>
      </c>
      <c r="F49" s="71">
        <f t="shared" si="6"/>
        <v>227815.78947368421</v>
      </c>
      <c r="G49" s="71">
        <f t="shared" si="6"/>
        <v>9788.5338345864657</v>
      </c>
      <c r="H49" s="71">
        <f t="shared" si="7"/>
        <v>237604.32330827069</v>
      </c>
      <c r="I49" s="72">
        <f t="shared" si="2"/>
        <v>13400883.831729336</v>
      </c>
      <c r="J49" s="53"/>
      <c r="K49" s="33"/>
      <c r="L49" s="38"/>
      <c r="M49" s="39"/>
      <c r="N49" s="33"/>
    </row>
    <row r="50" spans="2:14" x14ac:dyDescent="0.2">
      <c r="B50" s="290">
        <f t="shared" si="0"/>
        <v>23</v>
      </c>
      <c r="C50" s="265"/>
      <c r="D50" s="70">
        <f t="shared" si="3"/>
        <v>45618</v>
      </c>
      <c r="E50" s="170" t="s">
        <v>172</v>
      </c>
      <c r="F50" s="71">
        <f t="shared" si="6"/>
        <v>227815.78947368421</v>
      </c>
      <c r="G50" s="71">
        <f t="shared" si="6"/>
        <v>9788.5338345864657</v>
      </c>
      <c r="H50" s="71">
        <f t="shared" si="7"/>
        <v>237604.32330827069</v>
      </c>
      <c r="I50" s="72">
        <f t="shared" si="2"/>
        <v>13163279.508421065</v>
      </c>
      <c r="J50" s="53"/>
      <c r="K50" s="33"/>
      <c r="L50" s="38"/>
      <c r="M50" s="39"/>
      <c r="N50" s="33"/>
    </row>
    <row r="51" spans="2:14" x14ac:dyDescent="0.2">
      <c r="B51" s="290">
        <f t="shared" si="0"/>
        <v>24</v>
      </c>
      <c r="C51" s="265"/>
      <c r="D51" s="70">
        <f t="shared" si="3"/>
        <v>45648</v>
      </c>
      <c r="E51" s="170" t="s">
        <v>173</v>
      </c>
      <c r="F51" s="71">
        <f t="shared" si="6"/>
        <v>227815.78947368421</v>
      </c>
      <c r="G51" s="71">
        <f t="shared" si="6"/>
        <v>9788.5338345864657</v>
      </c>
      <c r="H51" s="71">
        <f t="shared" si="7"/>
        <v>237604.32330827069</v>
      </c>
      <c r="I51" s="72">
        <f t="shared" si="2"/>
        <v>12925675.185112795</v>
      </c>
      <c r="J51" s="53"/>
      <c r="K51" s="33"/>
      <c r="L51" s="38"/>
      <c r="M51" s="39"/>
      <c r="N51" s="33"/>
    </row>
    <row r="52" spans="2:14" x14ac:dyDescent="0.2">
      <c r="B52" s="290">
        <f t="shared" si="0"/>
        <v>25</v>
      </c>
      <c r="C52" s="265"/>
      <c r="D52" s="70">
        <f t="shared" si="3"/>
        <v>45679</v>
      </c>
      <c r="E52" s="170" t="s">
        <v>174</v>
      </c>
      <c r="F52" s="71">
        <f t="shared" si="6"/>
        <v>227815.78947368421</v>
      </c>
      <c r="G52" s="71">
        <f t="shared" si="6"/>
        <v>9788.5338345864657</v>
      </c>
      <c r="H52" s="71">
        <f t="shared" si="7"/>
        <v>237604.32330827069</v>
      </c>
      <c r="I52" s="72">
        <f t="shared" si="2"/>
        <v>12688070.861804524</v>
      </c>
      <c r="J52" s="53"/>
      <c r="K52" s="33"/>
      <c r="L52" s="38"/>
      <c r="M52" s="39"/>
      <c r="N52" s="33"/>
    </row>
    <row r="53" spans="2:14" x14ac:dyDescent="0.2">
      <c r="B53" s="290">
        <f t="shared" si="0"/>
        <v>26</v>
      </c>
      <c r="C53" s="265"/>
      <c r="D53" s="70">
        <f t="shared" si="3"/>
        <v>45710</v>
      </c>
      <c r="E53" s="170" t="s">
        <v>175</v>
      </c>
      <c r="F53" s="71">
        <f t="shared" si="6"/>
        <v>227815.78947368421</v>
      </c>
      <c r="G53" s="71">
        <f t="shared" si="6"/>
        <v>9788.5338345864657</v>
      </c>
      <c r="H53" s="71">
        <f t="shared" si="7"/>
        <v>237604.32330827069</v>
      </c>
      <c r="I53" s="72">
        <f t="shared" si="2"/>
        <v>12450466.538496254</v>
      </c>
      <c r="J53" s="53"/>
      <c r="K53" s="33"/>
      <c r="L53" s="38"/>
      <c r="M53" s="39"/>
      <c r="N53" s="33"/>
    </row>
    <row r="54" spans="2:14" x14ac:dyDescent="0.2">
      <c r="B54" s="290">
        <f t="shared" si="0"/>
        <v>27</v>
      </c>
      <c r="C54" s="265"/>
      <c r="D54" s="70">
        <f t="shared" si="3"/>
        <v>45738</v>
      </c>
      <c r="E54" s="170" t="s">
        <v>176</v>
      </c>
      <c r="F54" s="71">
        <f t="shared" si="6"/>
        <v>227815.78947368421</v>
      </c>
      <c r="G54" s="71">
        <f t="shared" si="6"/>
        <v>9788.5338345864657</v>
      </c>
      <c r="H54" s="71">
        <f t="shared" si="7"/>
        <v>237604.32330827069</v>
      </c>
      <c r="I54" s="72">
        <f t="shared" si="2"/>
        <v>12212862.215187984</v>
      </c>
      <c r="J54" s="53"/>
      <c r="K54" s="33"/>
      <c r="L54" s="38"/>
      <c r="M54" s="39"/>
      <c r="N54" s="33"/>
    </row>
    <row r="55" spans="2:14" x14ac:dyDescent="0.2">
      <c r="B55" s="290">
        <f t="shared" si="0"/>
        <v>28</v>
      </c>
      <c r="C55" s="265"/>
      <c r="D55" s="70">
        <f t="shared" si="3"/>
        <v>45769</v>
      </c>
      <c r="E55" s="170" t="s">
        <v>177</v>
      </c>
      <c r="F55" s="71">
        <f t="shared" ref="F55:G70" si="8">F54</f>
        <v>227815.78947368421</v>
      </c>
      <c r="G55" s="71">
        <f t="shared" si="8"/>
        <v>9788.5338345864657</v>
      </c>
      <c r="H55" s="71">
        <f t="shared" si="7"/>
        <v>237604.32330827069</v>
      </c>
      <c r="I55" s="72">
        <f t="shared" si="2"/>
        <v>11975257.891879713</v>
      </c>
      <c r="J55" s="53"/>
      <c r="K55" s="33"/>
      <c r="L55" s="38"/>
      <c r="M55" s="39"/>
      <c r="N55" s="33"/>
    </row>
    <row r="56" spans="2:14" x14ac:dyDescent="0.2">
      <c r="B56" s="290">
        <f t="shared" si="0"/>
        <v>29</v>
      </c>
      <c r="C56" s="265"/>
      <c r="D56" s="70">
        <f t="shared" si="3"/>
        <v>45799</v>
      </c>
      <c r="E56" s="170" t="s">
        <v>178</v>
      </c>
      <c r="F56" s="71">
        <f t="shared" si="8"/>
        <v>227815.78947368421</v>
      </c>
      <c r="G56" s="71">
        <f t="shared" si="8"/>
        <v>9788.5338345864657</v>
      </c>
      <c r="H56" s="71">
        <f t="shared" si="7"/>
        <v>237604.32330827069</v>
      </c>
      <c r="I56" s="72">
        <f t="shared" si="2"/>
        <v>11737653.568571443</v>
      </c>
      <c r="J56" s="53"/>
      <c r="K56" s="33"/>
      <c r="L56" s="38"/>
      <c r="M56" s="39"/>
      <c r="N56" s="33"/>
    </row>
    <row r="57" spans="2:14" x14ac:dyDescent="0.2">
      <c r="B57" s="290">
        <f t="shared" si="0"/>
        <v>30</v>
      </c>
      <c r="C57" s="265"/>
      <c r="D57" s="70">
        <f t="shared" si="3"/>
        <v>45830</v>
      </c>
      <c r="E57" s="170" t="s">
        <v>179</v>
      </c>
      <c r="F57" s="71">
        <f t="shared" si="8"/>
        <v>227815.78947368421</v>
      </c>
      <c r="G57" s="71">
        <f t="shared" si="8"/>
        <v>9788.5338345864657</v>
      </c>
      <c r="H57" s="71">
        <f t="shared" si="7"/>
        <v>237604.32330827069</v>
      </c>
      <c r="I57" s="72">
        <f t="shared" si="2"/>
        <v>11500049.245263172</v>
      </c>
      <c r="J57" s="53"/>
      <c r="K57" s="33"/>
      <c r="L57" s="38"/>
      <c r="M57" s="39"/>
      <c r="N57" s="33"/>
    </row>
    <row r="58" spans="2:14" x14ac:dyDescent="0.2">
      <c r="B58" s="290">
        <f t="shared" si="0"/>
        <v>31</v>
      </c>
      <c r="C58" s="265"/>
      <c r="D58" s="70">
        <f t="shared" si="3"/>
        <v>45860</v>
      </c>
      <c r="E58" s="170" t="s">
        <v>180</v>
      </c>
      <c r="F58" s="71">
        <f t="shared" si="8"/>
        <v>227815.78947368421</v>
      </c>
      <c r="G58" s="71">
        <f t="shared" si="8"/>
        <v>9788.5338345864657</v>
      </c>
      <c r="H58" s="71">
        <f t="shared" si="7"/>
        <v>237604.32330827069</v>
      </c>
      <c r="I58" s="72">
        <f t="shared" si="2"/>
        <v>11262444.921954902</v>
      </c>
      <c r="J58" s="53"/>
      <c r="K58" s="33"/>
      <c r="L58" s="38"/>
      <c r="M58" s="39"/>
      <c r="N58" s="33"/>
    </row>
    <row r="59" spans="2:14" x14ac:dyDescent="0.2">
      <c r="B59" s="290">
        <f t="shared" si="0"/>
        <v>32</v>
      </c>
      <c r="C59" s="265"/>
      <c r="D59" s="70">
        <f t="shared" si="3"/>
        <v>45891</v>
      </c>
      <c r="E59" s="170" t="s">
        <v>181</v>
      </c>
      <c r="F59" s="71">
        <f t="shared" si="8"/>
        <v>227815.78947368421</v>
      </c>
      <c r="G59" s="71">
        <f t="shared" si="8"/>
        <v>9788.5338345864657</v>
      </c>
      <c r="H59" s="71">
        <f t="shared" si="7"/>
        <v>237604.32330827069</v>
      </c>
      <c r="I59" s="72">
        <f t="shared" si="2"/>
        <v>11024840.598646631</v>
      </c>
      <c r="J59" s="53"/>
      <c r="K59" s="33"/>
      <c r="L59" s="38"/>
      <c r="M59" s="39"/>
      <c r="N59" s="33"/>
    </row>
    <row r="60" spans="2:14" x14ac:dyDescent="0.2">
      <c r="B60" s="290">
        <f t="shared" si="0"/>
        <v>33</v>
      </c>
      <c r="C60" s="265"/>
      <c r="D60" s="70">
        <f t="shared" si="3"/>
        <v>45922</v>
      </c>
      <c r="E60" s="170" t="s">
        <v>182</v>
      </c>
      <c r="F60" s="71">
        <f t="shared" si="8"/>
        <v>227815.78947368421</v>
      </c>
      <c r="G60" s="71">
        <f t="shared" si="8"/>
        <v>9788.5338345864657</v>
      </c>
      <c r="H60" s="71">
        <f t="shared" si="7"/>
        <v>237604.32330827069</v>
      </c>
      <c r="I60" s="72">
        <f t="shared" si="2"/>
        <v>10787236.275338361</v>
      </c>
      <c r="J60" s="53"/>
      <c r="K60" s="33"/>
      <c r="L60" s="38"/>
      <c r="M60" s="39"/>
      <c r="N60" s="33"/>
    </row>
    <row r="61" spans="2:14" x14ac:dyDescent="0.2">
      <c r="B61" s="290">
        <f t="shared" si="0"/>
        <v>34</v>
      </c>
      <c r="C61" s="265"/>
      <c r="D61" s="70">
        <f t="shared" si="3"/>
        <v>45952</v>
      </c>
      <c r="E61" s="170" t="s">
        <v>183</v>
      </c>
      <c r="F61" s="71">
        <f t="shared" si="8"/>
        <v>227815.78947368421</v>
      </c>
      <c r="G61" s="71">
        <f t="shared" si="8"/>
        <v>9788.5338345864657</v>
      </c>
      <c r="H61" s="71">
        <f t="shared" si="7"/>
        <v>237604.32330827069</v>
      </c>
      <c r="I61" s="72">
        <f t="shared" si="2"/>
        <v>10549631.952030091</v>
      </c>
      <c r="J61" s="53"/>
      <c r="K61" s="33"/>
      <c r="L61" s="38"/>
      <c r="M61" s="39"/>
      <c r="N61" s="33"/>
    </row>
    <row r="62" spans="2:14" x14ac:dyDescent="0.2">
      <c r="B62" s="290">
        <f t="shared" si="0"/>
        <v>35</v>
      </c>
      <c r="C62" s="265"/>
      <c r="D62" s="70">
        <f t="shared" si="3"/>
        <v>45983</v>
      </c>
      <c r="E62" s="170" t="s">
        <v>184</v>
      </c>
      <c r="F62" s="71">
        <f t="shared" si="8"/>
        <v>227815.78947368421</v>
      </c>
      <c r="G62" s="71">
        <f t="shared" si="8"/>
        <v>9788.5338345864657</v>
      </c>
      <c r="H62" s="71">
        <f t="shared" si="7"/>
        <v>237604.32330827069</v>
      </c>
      <c r="I62" s="72">
        <f t="shared" si="2"/>
        <v>10312027.62872182</v>
      </c>
      <c r="J62" s="53"/>
      <c r="K62" s="33"/>
      <c r="L62" s="38"/>
      <c r="M62" s="39"/>
      <c r="N62" s="33"/>
    </row>
    <row r="63" spans="2:14" x14ac:dyDescent="0.2">
      <c r="B63" s="290">
        <f t="shared" si="0"/>
        <v>36</v>
      </c>
      <c r="C63" s="265"/>
      <c r="D63" s="70">
        <f t="shared" si="3"/>
        <v>46013</v>
      </c>
      <c r="E63" s="170" t="s">
        <v>185</v>
      </c>
      <c r="F63" s="71">
        <f t="shared" si="8"/>
        <v>227815.78947368421</v>
      </c>
      <c r="G63" s="71">
        <f t="shared" si="8"/>
        <v>9788.5338345864657</v>
      </c>
      <c r="H63" s="71">
        <f t="shared" si="7"/>
        <v>237604.32330827069</v>
      </c>
      <c r="I63" s="72">
        <f t="shared" si="2"/>
        <v>10074423.30541355</v>
      </c>
      <c r="J63" s="53"/>
      <c r="K63" s="33"/>
      <c r="L63" s="38"/>
      <c r="M63" s="39"/>
      <c r="N63" s="33"/>
    </row>
    <row r="64" spans="2:14" x14ac:dyDescent="0.2">
      <c r="B64" s="290">
        <f t="shared" si="0"/>
        <v>37</v>
      </c>
      <c r="C64" s="265"/>
      <c r="D64" s="70">
        <f t="shared" si="3"/>
        <v>46044</v>
      </c>
      <c r="E64" s="170" t="s">
        <v>186</v>
      </c>
      <c r="F64" s="71">
        <f t="shared" si="8"/>
        <v>227815.78947368421</v>
      </c>
      <c r="G64" s="71">
        <f t="shared" si="8"/>
        <v>9788.5338345864657</v>
      </c>
      <c r="H64" s="71">
        <f t="shared" si="7"/>
        <v>237604.32330827069</v>
      </c>
      <c r="I64" s="72">
        <f t="shared" si="2"/>
        <v>9836818.9821052793</v>
      </c>
      <c r="J64" s="53"/>
      <c r="K64" s="33"/>
      <c r="L64" s="38"/>
      <c r="M64" s="39"/>
      <c r="N64" s="33"/>
    </row>
    <row r="65" spans="2:18" x14ac:dyDescent="0.2">
      <c r="B65" s="290">
        <f t="shared" si="0"/>
        <v>38</v>
      </c>
      <c r="C65" s="265"/>
      <c r="D65" s="70">
        <f t="shared" si="3"/>
        <v>46075</v>
      </c>
      <c r="E65" s="170" t="s">
        <v>187</v>
      </c>
      <c r="F65" s="71">
        <f t="shared" si="8"/>
        <v>227815.78947368421</v>
      </c>
      <c r="G65" s="71">
        <f t="shared" si="8"/>
        <v>9788.5338345864657</v>
      </c>
      <c r="H65" s="71">
        <f t="shared" si="7"/>
        <v>237604.32330827069</v>
      </c>
      <c r="I65" s="72">
        <f t="shared" si="2"/>
        <v>9599214.6587970089</v>
      </c>
      <c r="J65" s="53"/>
      <c r="K65" s="33"/>
      <c r="L65" s="38"/>
      <c r="M65" s="39"/>
      <c r="N65" s="33"/>
    </row>
    <row r="66" spans="2:18" x14ac:dyDescent="0.2">
      <c r="B66" s="290">
        <f t="shared" si="0"/>
        <v>39</v>
      </c>
      <c r="C66" s="265"/>
      <c r="D66" s="70">
        <f t="shared" si="3"/>
        <v>46103</v>
      </c>
      <c r="E66" s="170" t="s">
        <v>188</v>
      </c>
      <c r="F66" s="71">
        <f t="shared" si="8"/>
        <v>227815.78947368421</v>
      </c>
      <c r="G66" s="71">
        <f t="shared" si="8"/>
        <v>9788.5338345864657</v>
      </c>
      <c r="H66" s="71">
        <f t="shared" si="7"/>
        <v>237604.32330827069</v>
      </c>
      <c r="I66" s="72">
        <f t="shared" si="2"/>
        <v>9361610.3354887385</v>
      </c>
      <c r="J66" s="53"/>
      <c r="K66" s="33"/>
      <c r="L66" s="38"/>
      <c r="M66" s="39"/>
      <c r="N66" s="33"/>
    </row>
    <row r="67" spans="2:18" x14ac:dyDescent="0.2">
      <c r="B67" s="290">
        <f t="shared" si="0"/>
        <v>40</v>
      </c>
      <c r="C67" s="265"/>
      <c r="D67" s="70">
        <f t="shared" si="3"/>
        <v>46134</v>
      </c>
      <c r="E67" s="170" t="s">
        <v>189</v>
      </c>
      <c r="F67" s="71">
        <f t="shared" si="8"/>
        <v>227815.78947368421</v>
      </c>
      <c r="G67" s="71">
        <f t="shared" si="8"/>
        <v>9788.5338345864657</v>
      </c>
      <c r="H67" s="71">
        <f t="shared" si="7"/>
        <v>237604.32330827069</v>
      </c>
      <c r="I67" s="72">
        <f t="shared" si="2"/>
        <v>9124006.0121804681</v>
      </c>
      <c r="J67" s="53"/>
      <c r="K67" s="33"/>
      <c r="L67" s="38"/>
      <c r="M67" s="39"/>
      <c r="N67" s="33"/>
    </row>
    <row r="68" spans="2:18" x14ac:dyDescent="0.2">
      <c r="B68" s="290">
        <f t="shared" si="0"/>
        <v>41</v>
      </c>
      <c r="C68" s="265"/>
      <c r="D68" s="70">
        <f t="shared" si="3"/>
        <v>46164</v>
      </c>
      <c r="E68" s="170" t="s">
        <v>190</v>
      </c>
      <c r="F68" s="71">
        <f t="shared" si="8"/>
        <v>227815.78947368421</v>
      </c>
      <c r="G68" s="71">
        <f t="shared" si="8"/>
        <v>9788.5338345864657</v>
      </c>
      <c r="H68" s="71">
        <f t="shared" si="7"/>
        <v>237604.32330827069</v>
      </c>
      <c r="I68" s="72">
        <f t="shared" si="2"/>
        <v>8886401.6888721976</v>
      </c>
      <c r="J68" s="53"/>
      <c r="K68" s="33"/>
      <c r="L68" s="38"/>
      <c r="M68" s="39"/>
      <c r="N68" s="33"/>
    </row>
    <row r="69" spans="2:18" x14ac:dyDescent="0.2">
      <c r="B69" s="290">
        <f t="shared" si="0"/>
        <v>42</v>
      </c>
      <c r="C69" s="265"/>
      <c r="D69" s="70">
        <f t="shared" si="3"/>
        <v>46195</v>
      </c>
      <c r="E69" s="170" t="s">
        <v>191</v>
      </c>
      <c r="F69" s="71">
        <f t="shared" si="8"/>
        <v>227815.78947368421</v>
      </c>
      <c r="G69" s="71">
        <f t="shared" si="8"/>
        <v>9788.5338345864657</v>
      </c>
      <c r="H69" s="71">
        <f t="shared" si="7"/>
        <v>237604.32330827069</v>
      </c>
      <c r="I69" s="72">
        <f t="shared" si="2"/>
        <v>8648797.3655639272</v>
      </c>
      <c r="J69" s="53"/>
      <c r="K69" s="33"/>
      <c r="L69" s="38"/>
      <c r="M69" s="39"/>
      <c r="N69" s="33"/>
    </row>
    <row r="70" spans="2:18" x14ac:dyDescent="0.2">
      <c r="B70" s="290">
        <f t="shared" si="0"/>
        <v>43</v>
      </c>
      <c r="C70" s="265"/>
      <c r="D70" s="70">
        <f t="shared" si="3"/>
        <v>46225</v>
      </c>
      <c r="E70" s="170" t="s">
        <v>192</v>
      </c>
      <c r="F70" s="71">
        <f t="shared" si="8"/>
        <v>227815.78947368421</v>
      </c>
      <c r="G70" s="71">
        <f t="shared" si="8"/>
        <v>9788.5338345864657</v>
      </c>
      <c r="H70" s="71">
        <f t="shared" si="7"/>
        <v>237604.32330827069</v>
      </c>
      <c r="I70" s="72">
        <f t="shared" si="2"/>
        <v>8411193.0422556568</v>
      </c>
      <c r="J70" s="53"/>
      <c r="K70" s="33"/>
      <c r="L70" s="38"/>
      <c r="M70" s="39"/>
      <c r="N70" s="33"/>
    </row>
    <row r="71" spans="2:18" x14ac:dyDescent="0.2">
      <c r="B71" s="290">
        <f t="shared" si="0"/>
        <v>44</v>
      </c>
      <c r="C71" s="265"/>
      <c r="D71" s="70">
        <f t="shared" si="3"/>
        <v>46256</v>
      </c>
      <c r="E71" s="170" t="s">
        <v>193</v>
      </c>
      <c r="F71" s="71">
        <f t="shared" ref="F71" si="9">F70</f>
        <v>227815.78947368421</v>
      </c>
      <c r="G71" s="71">
        <f>G70</f>
        <v>9788.5338345864657</v>
      </c>
      <c r="H71" s="71">
        <f t="shared" si="7"/>
        <v>237604.32330827069</v>
      </c>
      <c r="I71" s="72">
        <f t="shared" si="2"/>
        <v>8173588.7189473864</v>
      </c>
      <c r="J71" s="53"/>
      <c r="K71" s="33"/>
      <c r="L71" s="38"/>
      <c r="M71" s="39"/>
      <c r="N71" s="33"/>
    </row>
    <row r="72" spans="2:18" x14ac:dyDescent="0.2">
      <c r="B72" s="290">
        <f t="shared" si="0"/>
        <v>45</v>
      </c>
      <c r="C72" s="265"/>
      <c r="D72" s="70">
        <f t="shared" si="3"/>
        <v>46287</v>
      </c>
      <c r="E72" s="170" t="s">
        <v>194</v>
      </c>
      <c r="F72" s="71">
        <f t="shared" ref="F72" si="10">F71</f>
        <v>227815.78947368421</v>
      </c>
      <c r="G72" s="71">
        <f>G71</f>
        <v>9788.5338345864657</v>
      </c>
      <c r="H72" s="71">
        <f t="shared" si="7"/>
        <v>237604.32330827069</v>
      </c>
      <c r="I72" s="72">
        <f t="shared" si="2"/>
        <v>7935984.3956391159</v>
      </c>
      <c r="J72" s="53"/>
      <c r="K72" s="33"/>
      <c r="L72" s="38"/>
      <c r="M72" s="39"/>
      <c r="N72" s="33"/>
    </row>
    <row r="73" spans="2:18" x14ac:dyDescent="0.2">
      <c r="B73" s="290">
        <f t="shared" si="0"/>
        <v>46</v>
      </c>
      <c r="C73" s="265"/>
      <c r="D73" s="70">
        <f t="shared" si="3"/>
        <v>46317</v>
      </c>
      <c r="E73" s="170" t="s">
        <v>195</v>
      </c>
      <c r="F73" s="71">
        <f t="shared" ref="F73" si="11">F72</f>
        <v>227815.78947368421</v>
      </c>
      <c r="G73" s="71">
        <f>G72</f>
        <v>9788.5338345864657</v>
      </c>
      <c r="H73" s="71">
        <f t="shared" si="7"/>
        <v>237604.32330827069</v>
      </c>
      <c r="I73" s="72">
        <f t="shared" si="2"/>
        <v>7698380.0723308455</v>
      </c>
      <c r="J73" s="53"/>
      <c r="K73" s="33"/>
      <c r="L73" s="38"/>
      <c r="M73" s="39"/>
      <c r="N73" s="33"/>
    </row>
    <row r="74" spans="2:18" x14ac:dyDescent="0.2">
      <c r="B74" s="290">
        <f t="shared" si="0"/>
        <v>47</v>
      </c>
      <c r="C74" s="265"/>
      <c r="D74" s="70">
        <f t="shared" si="3"/>
        <v>46348</v>
      </c>
      <c r="E74" s="170" t="s">
        <v>238</v>
      </c>
      <c r="F74" s="71">
        <f t="shared" ref="F74" si="12">F73</f>
        <v>227815.78947368421</v>
      </c>
      <c r="G74" s="71">
        <f>G73</f>
        <v>9788.5338345864657</v>
      </c>
      <c r="H74" s="71">
        <f t="shared" si="7"/>
        <v>237604.32330827069</v>
      </c>
      <c r="I74" s="72">
        <f t="shared" si="2"/>
        <v>7460775.7490225751</v>
      </c>
      <c r="J74" s="53"/>
      <c r="K74" s="33"/>
      <c r="L74" s="38"/>
      <c r="M74" s="39"/>
      <c r="N74" s="33"/>
    </row>
    <row r="75" spans="2:18" x14ac:dyDescent="0.2">
      <c r="B75" s="290">
        <f t="shared" si="0"/>
        <v>48</v>
      </c>
      <c r="C75" s="265"/>
      <c r="D75" s="70">
        <f t="shared" si="3"/>
        <v>46378</v>
      </c>
      <c r="E75" s="170" t="s">
        <v>239</v>
      </c>
      <c r="F75" s="71">
        <f t="shared" ref="F75" si="13">F74</f>
        <v>227815.78947368421</v>
      </c>
      <c r="G75" s="71">
        <f>G74</f>
        <v>9788.5338345864657</v>
      </c>
      <c r="H75" s="71">
        <f t="shared" si="7"/>
        <v>237604.32330827069</v>
      </c>
      <c r="I75" s="72">
        <f t="shared" si="2"/>
        <v>7223171.4257143047</v>
      </c>
      <c r="J75" s="53"/>
      <c r="K75" s="33"/>
      <c r="L75" s="38"/>
      <c r="M75" s="39"/>
      <c r="N75" s="33"/>
    </row>
    <row r="76" spans="2:18" ht="15.75" thickBot="1" x14ac:dyDescent="0.25">
      <c r="B76" s="290">
        <f t="shared" si="0"/>
        <v>49</v>
      </c>
      <c r="C76" s="265"/>
      <c r="D76" s="70">
        <f t="shared" si="3"/>
        <v>46409</v>
      </c>
      <c r="E76" s="170" t="s">
        <v>143</v>
      </c>
      <c r="F76" s="100">
        <f>((D23-D21)*40%)</f>
        <v>6925600</v>
      </c>
      <c r="G76" s="100">
        <f>(D21*40%)</f>
        <v>297571.42857142858</v>
      </c>
      <c r="H76" s="71">
        <f t="shared" si="7"/>
        <v>7223171.4285714282</v>
      </c>
      <c r="I76" s="72">
        <f t="shared" si="2"/>
        <v>-2.857123501598835E-3</v>
      </c>
      <c r="J76" s="53"/>
      <c r="K76" s="33"/>
      <c r="L76" s="38"/>
      <c r="M76" s="39"/>
      <c r="N76" s="33"/>
    </row>
    <row r="77" spans="2:18" ht="15.75" thickBot="1" x14ac:dyDescent="0.25">
      <c r="B77" s="54"/>
      <c r="C77" s="55"/>
      <c r="D77" s="56"/>
      <c r="E77" s="57" t="s">
        <v>81</v>
      </c>
      <c r="F77" s="58">
        <f>SUM(F26:F76)</f>
        <v>17314000.000000007</v>
      </c>
      <c r="G77" s="58">
        <f>SUM(G26:G76)</f>
        <v>743928.57428571396</v>
      </c>
      <c r="H77" s="58">
        <f>SUM(H26:H76)</f>
        <v>18057928.574285708</v>
      </c>
      <c r="I77" s="59"/>
      <c r="J77" s="33"/>
      <c r="K77" s="33"/>
      <c r="L77" s="38">
        <f>SUM(L26:L72)</f>
        <v>56000</v>
      </c>
      <c r="M77" s="39">
        <f>L77-F77</f>
        <v>-17258000.000000007</v>
      </c>
      <c r="N77" s="33"/>
    </row>
    <row r="78" spans="2:18" x14ac:dyDescent="0.2">
      <c r="D78" s="60"/>
      <c r="L78" s="61"/>
    </row>
    <row r="79" spans="2:18" x14ac:dyDescent="0.2">
      <c r="B79" s="62" t="s">
        <v>82</v>
      </c>
      <c r="C79" s="62"/>
      <c r="D79" s="60"/>
      <c r="M79" s="33"/>
      <c r="N79" s="38"/>
      <c r="O79" s="33"/>
      <c r="P79" s="33"/>
      <c r="Q79" s="65"/>
      <c r="R79" s="65"/>
    </row>
    <row r="80" spans="2:18" ht="15" customHeight="1" x14ac:dyDescent="0.2">
      <c r="B80" s="261" t="str">
        <f>IF(INPUT!$D$43="Sycamore Heights",Classic_Mem_Cash!$B$60,Classic_Mem_Cash!$B$78)</f>
        <v>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v>
      </c>
      <c r="C80" s="261"/>
      <c r="D80" s="261"/>
      <c r="E80" s="261"/>
      <c r="F80" s="261"/>
      <c r="G80" s="261"/>
      <c r="H80" s="261"/>
      <c r="I80" s="261"/>
      <c r="J80" s="111"/>
      <c r="K80" s="111"/>
      <c r="M80" s="33"/>
      <c r="N80" s="33"/>
      <c r="O80" s="33"/>
      <c r="P80" s="33"/>
      <c r="Q80" s="65"/>
      <c r="R80" s="65"/>
    </row>
    <row r="81" spans="1:18" ht="15" customHeight="1" x14ac:dyDescent="0.2">
      <c r="B81" s="261"/>
      <c r="C81" s="261"/>
      <c r="D81" s="261"/>
      <c r="E81" s="261"/>
      <c r="F81" s="261"/>
      <c r="G81" s="261"/>
      <c r="H81" s="261"/>
      <c r="I81" s="261"/>
      <c r="J81" s="260"/>
      <c r="K81" s="260"/>
      <c r="M81" s="33"/>
      <c r="N81" s="33"/>
      <c r="O81" s="33"/>
      <c r="P81" s="33"/>
      <c r="Q81" s="65"/>
      <c r="R81" s="65"/>
    </row>
    <row r="82" spans="1:18" ht="15" customHeight="1" x14ac:dyDescent="0.2">
      <c r="B82" s="261"/>
      <c r="C82" s="261"/>
      <c r="D82" s="261"/>
      <c r="E82" s="261"/>
      <c r="F82" s="261"/>
      <c r="G82" s="261"/>
      <c r="H82" s="261"/>
      <c r="I82" s="261"/>
      <c r="J82" s="260"/>
      <c r="K82" s="260"/>
      <c r="M82" s="33"/>
      <c r="N82" s="33"/>
      <c r="O82" s="33"/>
      <c r="P82" s="33"/>
      <c r="Q82" s="65"/>
      <c r="R82" s="65"/>
    </row>
    <row r="83" spans="1:18" x14ac:dyDescent="0.2">
      <c r="B83" s="261"/>
      <c r="C83" s="261"/>
      <c r="D83" s="261"/>
      <c r="E83" s="261"/>
      <c r="F83" s="261"/>
      <c r="G83" s="261"/>
      <c r="H83" s="261"/>
      <c r="I83" s="261"/>
      <c r="J83" s="260"/>
      <c r="K83" s="260"/>
      <c r="M83" s="33"/>
      <c r="N83" s="33"/>
      <c r="O83" s="33"/>
      <c r="P83" s="33"/>
      <c r="Q83" s="65"/>
      <c r="R83" s="65"/>
    </row>
    <row r="84" spans="1:18" ht="58.5" customHeight="1" x14ac:dyDescent="0.2">
      <c r="B84" s="261"/>
      <c r="C84" s="261"/>
      <c r="D84" s="261"/>
      <c r="E84" s="261"/>
      <c r="F84" s="261"/>
      <c r="G84" s="261"/>
      <c r="H84" s="261"/>
      <c r="I84" s="261"/>
      <c r="J84" s="260"/>
      <c r="K84" s="260"/>
      <c r="M84" s="33"/>
      <c r="N84" s="33"/>
      <c r="O84" s="33"/>
      <c r="P84" s="33"/>
      <c r="Q84" s="65"/>
      <c r="R84" s="65"/>
    </row>
    <row r="85" spans="1:18" ht="6.75" hidden="1" customHeight="1" x14ac:dyDescent="0.2">
      <c r="B85" s="261"/>
      <c r="C85" s="261"/>
      <c r="D85" s="261"/>
      <c r="E85" s="261"/>
      <c r="F85" s="261"/>
      <c r="G85" s="261"/>
      <c r="H85" s="261"/>
      <c r="I85" s="261"/>
      <c r="J85" s="260"/>
      <c r="K85" s="260"/>
      <c r="M85" s="33"/>
      <c r="N85" s="33"/>
      <c r="O85" s="33"/>
      <c r="P85" s="33"/>
      <c r="Q85" s="65"/>
      <c r="R85" s="65"/>
    </row>
    <row r="86" spans="1:18" ht="49.5" customHeight="1" x14ac:dyDescent="0.2">
      <c r="B86" s="261"/>
      <c r="C86" s="261"/>
      <c r="D86" s="261"/>
      <c r="E86" s="261"/>
      <c r="F86" s="261"/>
      <c r="G86" s="261"/>
      <c r="H86" s="261"/>
      <c r="I86" s="261"/>
      <c r="J86" s="260"/>
      <c r="K86" s="260"/>
      <c r="M86" s="33"/>
      <c r="N86" s="33"/>
      <c r="O86" s="33"/>
      <c r="P86" s="33"/>
      <c r="Q86" s="65"/>
      <c r="R86" s="65"/>
    </row>
    <row r="87" spans="1:18" ht="7.5" hidden="1" customHeight="1" x14ac:dyDescent="0.2">
      <c r="B87" s="261"/>
      <c r="C87" s="261"/>
      <c r="D87" s="261"/>
      <c r="E87" s="261"/>
      <c r="F87" s="261"/>
      <c r="G87" s="261"/>
      <c r="H87" s="261"/>
      <c r="I87" s="261"/>
      <c r="J87" s="260"/>
      <c r="K87" s="260"/>
      <c r="M87" s="33"/>
      <c r="N87" s="33"/>
      <c r="O87" s="33"/>
      <c r="P87" s="33"/>
      <c r="Q87" s="65"/>
      <c r="R87" s="65"/>
    </row>
    <row r="88" spans="1:18" ht="30" customHeight="1" x14ac:dyDescent="0.2">
      <c r="B88" s="261"/>
      <c r="C88" s="261"/>
      <c r="D88" s="261"/>
      <c r="E88" s="261"/>
      <c r="F88" s="261"/>
      <c r="G88" s="261"/>
      <c r="H88" s="261"/>
      <c r="I88" s="261"/>
      <c r="J88" s="260"/>
      <c r="K88" s="260"/>
      <c r="M88" s="33"/>
      <c r="N88" s="33"/>
      <c r="O88" s="33"/>
      <c r="P88" s="33"/>
      <c r="Q88" s="65"/>
      <c r="R88" s="65"/>
    </row>
    <row r="89" spans="1:18" hidden="1" x14ac:dyDescent="0.2">
      <c r="B89" s="63"/>
      <c r="C89" s="63"/>
      <c r="M89" s="33"/>
      <c r="N89" s="33"/>
      <c r="O89" s="33"/>
      <c r="P89" s="33"/>
      <c r="Q89" s="65"/>
      <c r="R89" s="65"/>
    </row>
    <row r="90" spans="1:18" hidden="1" x14ac:dyDescent="0.2">
      <c r="B90" s="64"/>
      <c r="C90" s="64"/>
      <c r="M90" s="33"/>
      <c r="N90" s="33"/>
      <c r="O90" s="33"/>
      <c r="P90" s="33"/>
      <c r="Q90" s="65"/>
      <c r="R90" s="65"/>
    </row>
    <row r="91" spans="1:18" hidden="1" x14ac:dyDescent="0.2">
      <c r="B91" s="64"/>
      <c r="C91" s="64"/>
      <c r="M91" s="33"/>
      <c r="N91" s="33"/>
      <c r="O91" s="33"/>
      <c r="P91" s="33"/>
      <c r="Q91" s="65"/>
      <c r="R91" s="65"/>
    </row>
    <row r="92" spans="1:18" hidden="1" x14ac:dyDescent="0.2">
      <c r="B92" s="64"/>
      <c r="C92" s="64"/>
      <c r="M92" s="33"/>
      <c r="N92" s="33"/>
      <c r="O92" s="33"/>
      <c r="P92" s="33"/>
      <c r="Q92" s="65"/>
      <c r="R92" s="65"/>
    </row>
    <row r="93" spans="1:18" hidden="1" x14ac:dyDescent="0.2">
      <c r="B93" s="64"/>
      <c r="C93" s="64"/>
      <c r="M93" s="33"/>
      <c r="N93" s="33"/>
      <c r="O93" s="33"/>
      <c r="P93" s="33"/>
      <c r="Q93" s="65"/>
      <c r="R93" s="65"/>
    </row>
    <row r="94" spans="1:18" s="65" customFormat="1" hidden="1" x14ac:dyDescent="0.2">
      <c r="A94" s="22"/>
      <c r="B94" s="64"/>
      <c r="C94" s="64"/>
      <c r="M94" s="33"/>
      <c r="N94" s="33"/>
      <c r="O94" s="33"/>
      <c r="P94" s="33"/>
    </row>
    <row r="95" spans="1:18" hidden="1" x14ac:dyDescent="0.2">
      <c r="M95" s="33"/>
      <c r="N95" s="33"/>
      <c r="O95" s="33"/>
      <c r="P95" s="33"/>
      <c r="Q95" s="65"/>
      <c r="R95" s="65"/>
    </row>
    <row r="96" spans="1:18" x14ac:dyDescent="0.2">
      <c r="B96" s="66" t="s">
        <v>84</v>
      </c>
      <c r="C96" s="66"/>
      <c r="M96" s="33"/>
      <c r="N96" s="33"/>
      <c r="O96" s="33"/>
      <c r="P96" s="33"/>
      <c r="Q96" s="65"/>
      <c r="R96" s="65"/>
    </row>
    <row r="97" spans="2:28" x14ac:dyDescent="0.2">
      <c r="M97" s="33"/>
      <c r="N97" s="33"/>
      <c r="O97" s="33"/>
      <c r="P97" s="33"/>
      <c r="Q97" s="65"/>
      <c r="R97" s="65"/>
    </row>
    <row r="98" spans="2:28" x14ac:dyDescent="0.2">
      <c r="M98" s="33"/>
      <c r="N98" s="33"/>
      <c r="O98" s="33"/>
      <c r="P98" s="33"/>
      <c r="Q98" s="65"/>
      <c r="R98" s="65"/>
    </row>
    <row r="99" spans="2:28" x14ac:dyDescent="0.2">
      <c r="B99" s="259" t="s">
        <v>85</v>
      </c>
      <c r="C99" s="259"/>
      <c r="D99" s="259"/>
      <c r="F99" s="259" t="s">
        <v>86</v>
      </c>
      <c r="G99" s="259"/>
      <c r="H99" s="259"/>
      <c r="I99" s="259"/>
      <c r="J99" s="259"/>
      <c r="K99" s="259"/>
      <c r="M99" s="33"/>
      <c r="N99" s="33"/>
      <c r="O99" s="33"/>
      <c r="P99" s="33"/>
      <c r="Q99" s="65"/>
      <c r="R99" s="65"/>
    </row>
    <row r="101" spans="2:28" x14ac:dyDescent="0.2">
      <c r="B101" s="67"/>
      <c r="C101" s="67"/>
      <c r="D101" s="67"/>
      <c r="E101" s="67"/>
      <c r="F101" s="67"/>
      <c r="G101" s="67"/>
      <c r="H101" s="67"/>
      <c r="I101" s="67"/>
      <c r="J101" s="33"/>
      <c r="K101" s="33"/>
      <c r="L101" s="33"/>
      <c r="M101" s="33"/>
      <c r="N101" s="33"/>
      <c r="O101" s="33"/>
      <c r="P101" s="33"/>
      <c r="Q101" s="33"/>
      <c r="R101" s="33"/>
      <c r="S101" s="33"/>
      <c r="T101" s="31"/>
      <c r="U101" s="31"/>
      <c r="V101" s="31"/>
      <c r="W101" s="31"/>
      <c r="X101" s="31"/>
      <c r="Y101" s="31"/>
      <c r="Z101" s="31"/>
      <c r="AA101" s="31"/>
      <c r="AB101" s="31"/>
    </row>
    <row r="102" spans="2:28" x14ac:dyDescent="0.2">
      <c r="B102" s="67"/>
      <c r="C102" s="67"/>
      <c r="D102" s="67"/>
      <c r="E102" s="67"/>
      <c r="F102" s="67"/>
      <c r="G102" s="67"/>
      <c r="H102" s="67"/>
      <c r="I102" s="67"/>
      <c r="J102" s="33"/>
      <c r="K102" s="33"/>
      <c r="L102" s="33"/>
      <c r="M102" s="33"/>
      <c r="N102" s="33"/>
      <c r="O102" s="33"/>
      <c r="P102" s="33"/>
      <c r="Q102" s="33"/>
      <c r="R102" s="33"/>
      <c r="S102" s="33"/>
      <c r="T102" s="31"/>
      <c r="U102" s="31"/>
      <c r="V102" s="31"/>
      <c r="W102" s="31"/>
      <c r="X102" s="31"/>
      <c r="Y102" s="31"/>
      <c r="Z102" s="31"/>
      <c r="AA102" s="31"/>
      <c r="AB102" s="31"/>
    </row>
    <row r="103" spans="2:28" x14ac:dyDescent="0.2">
      <c r="B103" s="67"/>
      <c r="C103" s="67"/>
      <c r="D103" s="67"/>
      <c r="E103" s="67"/>
      <c r="F103" s="67"/>
      <c r="G103" s="67"/>
      <c r="H103" s="67"/>
      <c r="I103" s="67"/>
    </row>
    <row r="104" spans="2:28" x14ac:dyDescent="0.2">
      <c r="B104" s="67"/>
      <c r="C104" s="67"/>
      <c r="D104" s="67"/>
      <c r="E104" s="67"/>
      <c r="F104" s="67"/>
      <c r="G104" s="67"/>
      <c r="H104" s="67"/>
      <c r="I104" s="67"/>
    </row>
    <row r="105" spans="2:28" x14ac:dyDescent="0.2">
      <c r="B105" s="262" t="s">
        <v>144</v>
      </c>
      <c r="C105" s="262"/>
      <c r="D105" s="262"/>
      <c r="E105" s="262"/>
      <c r="F105" s="262"/>
      <c r="G105" s="262"/>
      <c r="H105" s="262"/>
      <c r="I105" s="262"/>
      <c r="J105" s="68"/>
    </row>
    <row r="106" spans="2:28" x14ac:dyDescent="0.2">
      <c r="B106" s="263" t="s">
        <v>145</v>
      </c>
      <c r="C106" s="263"/>
      <c r="D106" s="263"/>
      <c r="E106" s="263"/>
      <c r="F106" s="263"/>
      <c r="G106" s="263"/>
      <c r="H106" s="263"/>
      <c r="I106" s="263"/>
      <c r="J106" s="68"/>
    </row>
    <row r="107" spans="2:28" x14ac:dyDescent="0.2">
      <c r="B107" s="262" t="s">
        <v>146</v>
      </c>
      <c r="C107" s="262"/>
      <c r="D107" s="262"/>
      <c r="E107" s="262"/>
      <c r="F107" s="262"/>
      <c r="G107" s="262"/>
      <c r="H107" s="262"/>
      <c r="I107" s="262"/>
      <c r="J107" s="68"/>
    </row>
    <row r="108" spans="2:28" x14ac:dyDescent="0.2">
      <c r="B108" s="262" t="s">
        <v>147</v>
      </c>
      <c r="C108" s="262"/>
      <c r="D108" s="262"/>
      <c r="E108" s="262"/>
      <c r="F108" s="262"/>
      <c r="G108" s="262"/>
      <c r="H108" s="262"/>
      <c r="I108" s="262"/>
      <c r="J108" s="68"/>
    </row>
    <row r="109" spans="2:28" x14ac:dyDescent="0.2">
      <c r="B109" s="262" t="s">
        <v>148</v>
      </c>
      <c r="C109" s="262"/>
      <c r="D109" s="262"/>
      <c r="E109" s="262"/>
      <c r="F109" s="262"/>
      <c r="G109" s="262"/>
      <c r="H109" s="262"/>
      <c r="I109" s="262"/>
      <c r="J109" s="68"/>
    </row>
    <row r="110" spans="2:28" x14ac:dyDescent="0.2">
      <c r="B110" s="68"/>
      <c r="C110" s="68"/>
      <c r="D110" s="68"/>
      <c r="E110" s="68"/>
      <c r="F110" s="68"/>
      <c r="G110" s="68"/>
      <c r="H110" s="68"/>
      <c r="I110" s="68"/>
      <c r="J110" s="68"/>
    </row>
    <row r="111" spans="2:28" x14ac:dyDescent="0.2">
      <c r="B111" s="67"/>
      <c r="C111" s="67"/>
      <c r="D111" s="67"/>
      <c r="E111" s="67"/>
      <c r="F111" s="67"/>
      <c r="G111" s="67"/>
      <c r="H111" s="67"/>
      <c r="I111" s="67"/>
    </row>
    <row r="112" spans="2:28" x14ac:dyDescent="0.2">
      <c r="B112" s="67"/>
      <c r="C112" s="67"/>
      <c r="D112" s="67"/>
      <c r="E112" s="67"/>
      <c r="F112" s="67"/>
      <c r="G112" s="67"/>
      <c r="H112" s="67"/>
      <c r="I112" s="67"/>
    </row>
    <row r="113" spans="1:9" x14ac:dyDescent="0.2">
      <c r="B113" s="67"/>
      <c r="C113" s="67"/>
      <c r="D113" s="67"/>
      <c r="E113" s="67"/>
      <c r="F113" s="67"/>
      <c r="G113" s="67"/>
      <c r="H113" s="67"/>
      <c r="I113" s="67"/>
    </row>
    <row r="114" spans="1:9" x14ac:dyDescent="0.2">
      <c r="B114" s="67"/>
      <c r="C114" s="67"/>
      <c r="D114" s="67"/>
      <c r="E114" s="67"/>
      <c r="F114" s="67"/>
      <c r="G114" s="67"/>
      <c r="H114" s="67"/>
      <c r="I114" s="67"/>
    </row>
    <row r="116" spans="1:9" x14ac:dyDescent="0.2">
      <c r="A116" s="65"/>
    </row>
  </sheetData>
  <sheetProtection password="C931" sheet="1" selectLockedCells="1"/>
  <mergeCells count="75">
    <mergeCell ref="B75:C75"/>
    <mergeCell ref="B108:I108"/>
    <mergeCell ref="B109:I109"/>
    <mergeCell ref="B31:C31"/>
    <mergeCell ref="B32:C32"/>
    <mergeCell ref="B33:C33"/>
    <mergeCell ref="B34:C34"/>
    <mergeCell ref="B35:C35"/>
    <mergeCell ref="B36:C36"/>
    <mergeCell ref="B37:C37"/>
    <mergeCell ref="B74:C74"/>
    <mergeCell ref="B107:I107"/>
    <mergeCell ref="B73:C73"/>
    <mergeCell ref="B76:C76"/>
    <mergeCell ref="B67:C67"/>
    <mergeCell ref="B68:C68"/>
    <mergeCell ref="J88:K88"/>
    <mergeCell ref="B99:D99"/>
    <mergeCell ref="F99:K99"/>
    <mergeCell ref="B105:I105"/>
    <mergeCell ref="B106:I106"/>
    <mergeCell ref="B80:I88"/>
    <mergeCell ref="J81:K81"/>
    <mergeCell ref="J82:K82"/>
    <mergeCell ref="J83:K83"/>
    <mergeCell ref="J84:K84"/>
    <mergeCell ref="J85:K85"/>
    <mergeCell ref="J86:K86"/>
    <mergeCell ref="J87:K87"/>
    <mergeCell ref="B69:C69"/>
    <mergeCell ref="B70:C70"/>
    <mergeCell ref="B71:C71"/>
    <mergeCell ref="B72:C72"/>
    <mergeCell ref="B61:C61"/>
    <mergeCell ref="B62:C62"/>
    <mergeCell ref="B63:C63"/>
    <mergeCell ref="B64:C64"/>
    <mergeCell ref="B65:C65"/>
    <mergeCell ref="B66:C66"/>
    <mergeCell ref="B60:C60"/>
    <mergeCell ref="B49:C49"/>
    <mergeCell ref="B50:C50"/>
    <mergeCell ref="B51:C51"/>
    <mergeCell ref="B52:C52"/>
    <mergeCell ref="B53:C53"/>
    <mergeCell ref="B54:C54"/>
    <mergeCell ref="B55:C55"/>
    <mergeCell ref="B56:C56"/>
    <mergeCell ref="B57:C57"/>
    <mergeCell ref="B58:C58"/>
    <mergeCell ref="B59:C59"/>
    <mergeCell ref="B48:C48"/>
    <mergeCell ref="B30:C30"/>
    <mergeCell ref="B38:C38"/>
    <mergeCell ref="B39:C39"/>
    <mergeCell ref="B40:C40"/>
    <mergeCell ref="B41:C41"/>
    <mergeCell ref="B42:C42"/>
    <mergeCell ref="B43:C43"/>
    <mergeCell ref="B44:C44"/>
    <mergeCell ref="B45:C45"/>
    <mergeCell ref="B46:C46"/>
    <mergeCell ref="B47:C47"/>
    <mergeCell ref="B29:C29"/>
    <mergeCell ref="L1:L3"/>
    <mergeCell ref="I2:I3"/>
    <mergeCell ref="C6:D6"/>
    <mergeCell ref="C7:D7"/>
    <mergeCell ref="C8:D8"/>
    <mergeCell ref="C9:D9"/>
    <mergeCell ref="C12:D12"/>
    <mergeCell ref="B25:C25"/>
    <mergeCell ref="B26:C26"/>
    <mergeCell ref="B27:C27"/>
    <mergeCell ref="B28:C28"/>
  </mergeCells>
  <hyperlinks>
    <hyperlink ref="L4" location="Input!A1" display="Return to Input" xr:uid="{00000000-0004-0000-1100-000000000000}"/>
  </hyperlinks>
  <printOptions horizontalCentered="1" verticalCentered="1"/>
  <pageMargins left="0.39370078740157483" right="0.39370078740157483" top="0" bottom="0" header="0.31496062992125984" footer="0.31496062992125984"/>
  <pageSetup scale="64" orientation="portrait" verticalDpi="4294967293"/>
  <rowBreaks count="1" manualBreakCount="1">
    <brk id="78" min="1" max="6"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O68"/>
  <sheetViews>
    <sheetView topLeftCell="C39" zoomScale="160" zoomScaleNormal="160" zoomScalePageLayoutView="160" workbookViewId="0">
      <selection activeCell="D45" sqref="D45"/>
    </sheetView>
  </sheetViews>
  <sheetFormatPr defaultColWidth="8.875" defaultRowHeight="15" x14ac:dyDescent="0.2"/>
  <cols>
    <col min="1" max="1" width="2.41796875" style="1" customWidth="1"/>
    <col min="2" max="2" width="0.94140625" style="1" customWidth="1"/>
    <col min="3" max="3" width="24.078125" style="1" customWidth="1"/>
    <col min="4" max="4" width="22.46484375" style="1" customWidth="1"/>
    <col min="5" max="5" width="3.359375" style="1" customWidth="1"/>
    <col min="6" max="6" width="40.48828125" style="1" customWidth="1"/>
    <col min="7" max="7" width="37.26171875" style="1" customWidth="1"/>
    <col min="8" max="8" width="0.94140625" style="1" customWidth="1"/>
    <col min="9" max="9" width="6.1875" style="1" customWidth="1"/>
    <col min="10" max="16384" width="8.875" style="1"/>
  </cols>
  <sheetData>
    <row r="1" spans="2:9" ht="15.75" thickBot="1" x14ac:dyDescent="0.25">
      <c r="I1" s="2"/>
    </row>
    <row r="2" spans="2:9" ht="6" customHeight="1" x14ac:dyDescent="0.2">
      <c r="B2" s="3"/>
      <c r="C2" s="4"/>
      <c r="D2" s="4"/>
      <c r="E2" s="4"/>
      <c r="F2" s="4"/>
      <c r="G2" s="5"/>
      <c r="I2" s="2"/>
    </row>
    <row r="3" spans="2:9" x14ac:dyDescent="0.2">
      <c r="B3" s="6"/>
      <c r="C3" s="7" t="s">
        <v>19</v>
      </c>
      <c r="D3" s="2"/>
      <c r="E3" s="2"/>
      <c r="F3" s="2"/>
      <c r="G3" s="8"/>
      <c r="I3" s="2"/>
    </row>
    <row r="4" spans="2:9" ht="19.5" customHeight="1" x14ac:dyDescent="0.2">
      <c r="B4" s="6"/>
      <c r="C4" s="9" t="s">
        <v>20</v>
      </c>
      <c r="D4" s="10" t="s">
        <v>21</v>
      </c>
      <c r="E4" s="2"/>
      <c r="F4" s="2"/>
      <c r="G4" s="8"/>
      <c r="I4" s="2"/>
    </row>
    <row r="5" spans="2:9" x14ac:dyDescent="0.2">
      <c r="B5" s="6"/>
      <c r="C5" s="9" t="s">
        <v>22</v>
      </c>
      <c r="D5" s="10" t="s">
        <v>23</v>
      </c>
      <c r="E5" s="2"/>
      <c r="F5" s="2"/>
      <c r="G5" s="8"/>
      <c r="I5" s="2"/>
    </row>
    <row r="6" spans="2:9" ht="5.25" customHeight="1" thickBot="1" x14ac:dyDescent="0.25">
      <c r="B6" s="11"/>
      <c r="C6" s="12"/>
      <c r="D6" s="13"/>
      <c r="E6" s="14"/>
      <c r="F6" s="14"/>
      <c r="G6" s="15"/>
      <c r="I6" s="2"/>
    </row>
    <row r="7" spans="2:9" ht="15.75" hidden="1" thickBot="1" x14ac:dyDescent="0.25"/>
    <row r="8" spans="2:9" ht="5.25" hidden="1" customHeight="1" thickBot="1" x14ac:dyDescent="0.25">
      <c r="B8" s="3"/>
      <c r="C8" s="4"/>
      <c r="D8" s="4"/>
      <c r="E8" s="4"/>
      <c r="F8" s="4"/>
      <c r="G8" s="4"/>
      <c r="H8" s="5"/>
    </row>
    <row r="9" spans="2:9" ht="17.25" hidden="1" customHeight="1" thickBot="1" x14ac:dyDescent="0.25">
      <c r="B9" s="6"/>
      <c r="C9" s="246" t="s">
        <v>24</v>
      </c>
      <c r="D9" s="247"/>
      <c r="E9" s="247"/>
      <c r="F9" s="247"/>
      <c r="G9" s="248"/>
      <c r="H9" s="8"/>
    </row>
    <row r="10" spans="2:9" hidden="1" x14ac:dyDescent="0.2">
      <c r="B10" s="6"/>
      <c r="C10" s="2"/>
      <c r="D10" s="2"/>
      <c r="E10" s="2"/>
      <c r="F10" s="16"/>
      <c r="G10" s="16"/>
      <c r="H10" s="8"/>
    </row>
    <row r="11" spans="2:9" ht="15.75" hidden="1" customHeight="1" x14ac:dyDescent="0.2">
      <c r="B11" s="6"/>
      <c r="C11" s="2"/>
      <c r="D11" s="88" t="str">
        <f>CONCATENATE(D14,"/",D15,"/",D16)</f>
        <v>Plantation Hills/1/8</v>
      </c>
      <c r="E11" s="2"/>
      <c r="F11" s="21" t="s">
        <v>25</v>
      </c>
      <c r="G11" s="21" t="s">
        <v>26</v>
      </c>
      <c r="H11" s="8"/>
    </row>
    <row r="12" spans="2:9" ht="15.75" hidden="1" customHeight="1" x14ac:dyDescent="0.2">
      <c r="B12" s="6"/>
      <c r="C12" s="17" t="s">
        <v>27</v>
      </c>
      <c r="D12" s="91" t="s">
        <v>28</v>
      </c>
      <c r="E12" s="2"/>
      <c r="F12" s="90" t="s">
        <v>29</v>
      </c>
      <c r="G12" s="90" t="s">
        <v>29</v>
      </c>
      <c r="H12" s="8"/>
    </row>
    <row r="13" spans="2:9" ht="15.75" hidden="1" customHeight="1" x14ac:dyDescent="0.2">
      <c r="B13" s="6"/>
      <c r="C13" s="17" t="s">
        <v>30</v>
      </c>
      <c r="D13" s="91" t="s">
        <v>31</v>
      </c>
      <c r="E13" s="2"/>
      <c r="F13" s="90" t="s">
        <v>32</v>
      </c>
      <c r="G13" s="90" t="s">
        <v>32</v>
      </c>
      <c r="H13" s="8"/>
    </row>
    <row r="14" spans="2:9" ht="15.75" hidden="1" customHeight="1" x14ac:dyDescent="0.2">
      <c r="B14" s="6"/>
      <c r="C14" s="17" t="s">
        <v>4</v>
      </c>
      <c r="D14" s="91" t="s">
        <v>24</v>
      </c>
      <c r="E14" s="2"/>
      <c r="F14" s="90" t="s">
        <v>33</v>
      </c>
      <c r="G14" s="101" t="s">
        <v>33</v>
      </c>
      <c r="H14" s="8"/>
    </row>
    <row r="15" spans="2:9" ht="15.75" hidden="1" customHeight="1" x14ac:dyDescent="0.2">
      <c r="B15" s="6"/>
      <c r="C15" s="17" t="s">
        <v>34</v>
      </c>
      <c r="D15" s="91">
        <v>1</v>
      </c>
      <c r="E15" s="2"/>
      <c r="F15" s="101" t="s">
        <v>35</v>
      </c>
      <c r="G15" s="98" t="s">
        <v>35</v>
      </c>
      <c r="H15" s="8"/>
    </row>
    <row r="16" spans="2:9" ht="15.75" hidden="1" customHeight="1" x14ac:dyDescent="0.2">
      <c r="B16" s="6"/>
      <c r="C16" s="1" t="s">
        <v>36</v>
      </c>
      <c r="D16" s="91">
        <v>8</v>
      </c>
      <c r="E16" s="2"/>
      <c r="F16" s="90" t="s">
        <v>37</v>
      </c>
      <c r="G16" s="90" t="s">
        <v>37</v>
      </c>
      <c r="H16" s="8"/>
    </row>
    <row r="17" spans="2:8" ht="15.75" hidden="1" customHeight="1" x14ac:dyDescent="0.2">
      <c r="B17" s="6"/>
      <c r="C17" s="17" t="s">
        <v>14</v>
      </c>
      <c r="D17" s="99" t="e">
        <f>VLOOKUP($D$11,Pricelist!E:L,7,0)</f>
        <v>#N/A</v>
      </c>
      <c r="E17" s="2"/>
      <c r="F17" s="90" t="s">
        <v>38</v>
      </c>
      <c r="G17" s="90" t="s">
        <v>38</v>
      </c>
      <c r="H17" s="8"/>
    </row>
    <row r="18" spans="2:8" ht="15.75" hidden="1" customHeight="1" x14ac:dyDescent="0.2">
      <c r="B18" s="6"/>
      <c r="C18" s="17" t="s">
        <v>8</v>
      </c>
      <c r="D18" s="18" t="e">
        <f>VLOOKUP(D11,Pricelist!E:L,2,0)</f>
        <v>#N/A</v>
      </c>
      <c r="E18" s="2"/>
      <c r="F18" s="90" t="s">
        <v>39</v>
      </c>
      <c r="G18" s="90" t="s">
        <v>39</v>
      </c>
      <c r="H18" s="8"/>
    </row>
    <row r="19" spans="2:8" ht="15.75" hidden="1" customHeight="1" x14ac:dyDescent="0.2">
      <c r="B19" s="6"/>
      <c r="C19" s="17" t="s">
        <v>40</v>
      </c>
      <c r="D19" s="19" t="e">
        <f>VLOOKUP(D11,Pricelist!E:L,5,0)</f>
        <v>#N/A</v>
      </c>
      <c r="E19" s="2"/>
      <c r="H19" s="8"/>
    </row>
    <row r="20" spans="2:8" hidden="1" x14ac:dyDescent="0.2">
      <c r="B20" s="6"/>
      <c r="C20" s="2"/>
      <c r="D20" s="2"/>
      <c r="E20" s="2"/>
      <c r="H20" s="8"/>
    </row>
    <row r="21" spans="2:8" ht="5.25" hidden="1" customHeight="1" thickBot="1" x14ac:dyDescent="0.25">
      <c r="B21" s="11"/>
      <c r="C21" s="14"/>
      <c r="D21" s="14"/>
      <c r="E21" s="14"/>
      <c r="F21" s="14"/>
      <c r="G21" s="14"/>
      <c r="H21" s="15"/>
    </row>
    <row r="23" spans="2:8" ht="5.25" hidden="1" customHeight="1" thickBot="1" x14ac:dyDescent="0.25">
      <c r="B23" s="3"/>
      <c r="C23" s="4"/>
      <c r="D23" s="4"/>
      <c r="E23" s="4"/>
      <c r="F23" s="4"/>
      <c r="G23" s="4"/>
      <c r="H23" s="5"/>
    </row>
    <row r="24" spans="2:8" ht="20.25" hidden="1" customHeight="1" thickBot="1" x14ac:dyDescent="0.25">
      <c r="B24" s="6"/>
      <c r="C24" s="249" t="s">
        <v>41</v>
      </c>
      <c r="D24" s="250"/>
      <c r="E24" s="250"/>
      <c r="F24" s="250"/>
      <c r="G24" s="251"/>
      <c r="H24" s="8"/>
    </row>
    <row r="25" spans="2:8" hidden="1" x14ac:dyDescent="0.2">
      <c r="B25" s="6"/>
      <c r="C25" s="2"/>
      <c r="D25" s="2"/>
      <c r="E25" s="2"/>
      <c r="F25" s="16"/>
      <c r="G25" s="16"/>
      <c r="H25" s="8"/>
    </row>
    <row r="26" spans="2:8" hidden="1" x14ac:dyDescent="0.2">
      <c r="B26" s="6"/>
      <c r="C26" s="2"/>
      <c r="D26" s="88" t="str">
        <f>CONCATENATE(D29,"/",D30,"/",D31)</f>
        <v>Fairfield/1/26</v>
      </c>
      <c r="E26" s="2"/>
      <c r="F26" s="21" t="s">
        <v>25</v>
      </c>
      <c r="G26" s="21" t="s">
        <v>26</v>
      </c>
      <c r="H26" s="8"/>
    </row>
    <row r="27" spans="2:8" hidden="1" x14ac:dyDescent="0.2">
      <c r="B27" s="6"/>
      <c r="C27" s="17" t="s">
        <v>27</v>
      </c>
      <c r="D27" s="91" t="s">
        <v>42</v>
      </c>
      <c r="E27" s="2"/>
      <c r="F27" s="90" t="s">
        <v>29</v>
      </c>
      <c r="G27" s="90" t="s">
        <v>29</v>
      </c>
      <c r="H27" s="8"/>
    </row>
    <row r="28" spans="2:8" hidden="1" x14ac:dyDescent="0.2">
      <c r="B28" s="6"/>
      <c r="C28" s="17" t="s">
        <v>30</v>
      </c>
      <c r="D28" s="91" t="s">
        <v>31</v>
      </c>
      <c r="E28" s="2"/>
      <c r="F28" s="90" t="s">
        <v>32</v>
      </c>
      <c r="G28" s="90" t="s">
        <v>32</v>
      </c>
      <c r="H28" s="8"/>
    </row>
    <row r="29" spans="2:8" hidden="1" x14ac:dyDescent="0.2">
      <c r="B29" s="6"/>
      <c r="C29" s="17" t="s">
        <v>43</v>
      </c>
      <c r="D29" s="92" t="s">
        <v>41</v>
      </c>
      <c r="E29" s="2"/>
      <c r="F29" s="90" t="s">
        <v>33</v>
      </c>
      <c r="G29" s="90" t="s">
        <v>33</v>
      </c>
      <c r="H29" s="8"/>
    </row>
    <row r="30" spans="2:8" hidden="1" x14ac:dyDescent="0.2">
      <c r="B30" s="6"/>
      <c r="C30" s="17" t="s">
        <v>34</v>
      </c>
      <c r="D30" s="92">
        <v>1</v>
      </c>
      <c r="E30" s="2"/>
      <c r="F30" s="90" t="s">
        <v>35</v>
      </c>
      <c r="G30" s="90" t="s">
        <v>35</v>
      </c>
      <c r="H30" s="8"/>
    </row>
    <row r="31" spans="2:8" hidden="1" x14ac:dyDescent="0.2">
      <c r="B31" s="6"/>
      <c r="C31" s="1" t="s">
        <v>36</v>
      </c>
      <c r="D31" s="93">
        <v>26</v>
      </c>
      <c r="E31" s="2"/>
      <c r="F31" s="90" t="s">
        <v>44</v>
      </c>
      <c r="G31" s="90" t="s">
        <v>44</v>
      </c>
      <c r="H31" s="8"/>
    </row>
    <row r="32" spans="2:8" hidden="1" x14ac:dyDescent="0.2">
      <c r="B32" s="6"/>
      <c r="C32" s="17" t="s">
        <v>8</v>
      </c>
      <c r="D32" s="20" t="e">
        <f>VLOOKUP(D26,Pricelist!E:K,2,0)</f>
        <v>#N/A</v>
      </c>
      <c r="E32" s="2"/>
      <c r="F32" s="90" t="s">
        <v>45</v>
      </c>
      <c r="G32" s="90" t="s">
        <v>45</v>
      </c>
      <c r="H32" s="8"/>
    </row>
    <row r="33" spans="2:8" hidden="1" x14ac:dyDescent="0.2">
      <c r="B33" s="6"/>
      <c r="C33" s="17" t="s">
        <v>40</v>
      </c>
      <c r="D33" s="19" t="e">
        <f>VLOOKUP(D26,Pricelist!E:K,5,0)</f>
        <v>#N/A</v>
      </c>
      <c r="E33" s="2"/>
      <c r="F33" s="90" t="s">
        <v>39</v>
      </c>
      <c r="G33" s="90" t="s">
        <v>39</v>
      </c>
      <c r="H33" s="8"/>
    </row>
    <row r="34" spans="2:8" hidden="1" x14ac:dyDescent="0.2">
      <c r="B34" s="6"/>
      <c r="C34" s="17" t="s">
        <v>46</v>
      </c>
      <c r="D34" s="91" t="s">
        <v>47</v>
      </c>
      <c r="E34" s="2"/>
      <c r="F34" s="90"/>
      <c r="G34" s="90"/>
      <c r="H34" s="8"/>
    </row>
    <row r="35" spans="2:8" ht="15.75" hidden="1" thickBot="1" x14ac:dyDescent="0.25">
      <c r="B35" s="11"/>
      <c r="C35" s="14"/>
      <c r="D35" s="14"/>
      <c r="E35" s="14"/>
      <c r="F35" s="14"/>
      <c r="G35" s="14"/>
      <c r="H35" s="15"/>
    </row>
    <row r="36" spans="2:8" ht="15.75" thickBot="1" x14ac:dyDescent="0.25"/>
    <row r="37" spans="2:8" ht="15.75" thickBot="1" x14ac:dyDescent="0.25">
      <c r="B37" s="3"/>
      <c r="C37" s="4"/>
      <c r="D37" s="4"/>
      <c r="E37" s="4"/>
      <c r="F37" s="4"/>
      <c r="G37" s="4"/>
      <c r="H37" s="5"/>
    </row>
    <row r="38" spans="2:8" ht="15.75" thickBot="1" x14ac:dyDescent="0.25">
      <c r="B38" s="6"/>
      <c r="C38" s="252" t="s">
        <v>48</v>
      </c>
      <c r="D38" s="253"/>
      <c r="E38" s="253"/>
      <c r="F38" s="253"/>
      <c r="G38" s="254"/>
      <c r="H38" s="8"/>
    </row>
    <row r="39" spans="2:8" x14ac:dyDescent="0.2">
      <c r="B39" s="6"/>
      <c r="C39" s="2"/>
      <c r="D39" s="2"/>
      <c r="E39" s="2"/>
      <c r="F39" s="16"/>
      <c r="G39" s="16"/>
      <c r="H39" s="8"/>
    </row>
    <row r="40" spans="2:8" x14ac:dyDescent="0.2">
      <c r="B40" s="6"/>
      <c r="C40" s="2"/>
      <c r="D40" s="88" t="str">
        <f>CONCATENATE(D43,"/",D44,"/",D45)</f>
        <v>Nob Hill/5/5</v>
      </c>
      <c r="E40" s="2"/>
      <c r="F40" s="132"/>
      <c r="G40" s="132"/>
      <c r="H40" s="8"/>
    </row>
    <row r="41" spans="2:8" x14ac:dyDescent="0.2">
      <c r="B41" s="6"/>
      <c r="C41" s="17" t="s">
        <v>27</v>
      </c>
      <c r="D41" s="91" t="s">
        <v>260</v>
      </c>
      <c r="E41" s="2"/>
      <c r="F41" s="131"/>
      <c r="H41" s="8"/>
    </row>
    <row r="42" spans="2:8" x14ac:dyDescent="0.2">
      <c r="B42" s="6"/>
      <c r="C42" s="17" t="s">
        <v>30</v>
      </c>
      <c r="D42" s="91" t="s">
        <v>31</v>
      </c>
      <c r="E42" s="2"/>
      <c r="F42" s="90" t="s">
        <v>49</v>
      </c>
      <c r="H42" s="8"/>
    </row>
    <row r="43" spans="2:8" x14ac:dyDescent="0.2">
      <c r="B43" s="6"/>
      <c r="C43" s="17" t="s">
        <v>43</v>
      </c>
      <c r="D43" s="92" t="s">
        <v>257</v>
      </c>
      <c r="E43" s="2"/>
      <c r="F43" s="90" t="s">
        <v>273</v>
      </c>
      <c r="H43" s="8"/>
    </row>
    <row r="44" spans="2:8" x14ac:dyDescent="0.2">
      <c r="B44" s="6"/>
      <c r="C44" s="17" t="s">
        <v>34</v>
      </c>
      <c r="D44" s="92">
        <v>5</v>
      </c>
      <c r="E44" s="2"/>
      <c r="F44" s="90" t="s">
        <v>268</v>
      </c>
      <c r="H44" s="8"/>
    </row>
    <row r="45" spans="2:8" x14ac:dyDescent="0.2">
      <c r="B45" s="6"/>
      <c r="C45" s="1" t="s">
        <v>36</v>
      </c>
      <c r="D45" s="93">
        <v>5</v>
      </c>
      <c r="E45" s="2"/>
      <c r="F45" s="101" t="s">
        <v>274</v>
      </c>
      <c r="H45" s="8"/>
    </row>
    <row r="46" spans="2:8" x14ac:dyDescent="0.2">
      <c r="B46" s="6"/>
      <c r="C46" s="17" t="s">
        <v>8</v>
      </c>
      <c r="D46" s="20">
        <f>VLOOKUP(D40,Pricelist!E:K,2,0)</f>
        <v>597</v>
      </c>
      <c r="E46" s="2"/>
      <c r="H46" s="8"/>
    </row>
    <row r="47" spans="2:8" x14ac:dyDescent="0.2">
      <c r="B47" s="6"/>
      <c r="C47" s="17" t="s">
        <v>40</v>
      </c>
      <c r="D47" s="19">
        <f>VLOOKUP(D40,Pricelist!E:K,5,0)</f>
        <v>17314000</v>
      </c>
      <c r="E47" s="2"/>
      <c r="H47" s="8"/>
    </row>
    <row r="48" spans="2:8" x14ac:dyDescent="0.2">
      <c r="B48" s="6"/>
      <c r="C48" s="17" t="s">
        <v>254</v>
      </c>
      <c r="D48" s="179">
        <f ca="1">TODAY()</f>
        <v>45360</v>
      </c>
      <c r="E48" s="2"/>
      <c r="F48" s="174"/>
      <c r="H48" s="8"/>
    </row>
    <row r="49" spans="2:15" ht="15" customHeight="1" x14ac:dyDescent="0.2">
      <c r="B49" s="6"/>
      <c r="E49" s="2"/>
      <c r="F49" s="258" t="s">
        <v>256</v>
      </c>
      <c r="H49" s="8"/>
    </row>
    <row r="50" spans="2:15" x14ac:dyDescent="0.2">
      <c r="B50" s="6"/>
      <c r="C50" s="17"/>
      <c r="D50" s="149"/>
      <c r="E50" s="2"/>
      <c r="F50" s="258"/>
      <c r="H50" s="8"/>
    </row>
    <row r="51" spans="2:15" x14ac:dyDescent="0.2">
      <c r="B51" s="6"/>
      <c r="C51" s="17"/>
      <c r="D51" s="149"/>
      <c r="E51" s="2"/>
      <c r="F51" s="258"/>
      <c r="H51" s="8"/>
    </row>
    <row r="52" spans="2:15" x14ac:dyDescent="0.2">
      <c r="B52" s="6"/>
      <c r="E52" s="2"/>
      <c r="F52" s="258"/>
      <c r="H52" s="8"/>
    </row>
    <row r="53" spans="2:15" hidden="1" x14ac:dyDescent="0.2">
      <c r="B53" s="6"/>
      <c r="C53" s="17" t="s">
        <v>46</v>
      </c>
      <c r="D53" s="91" t="s">
        <v>47</v>
      </c>
      <c r="E53" s="2"/>
      <c r="F53" s="90"/>
      <c r="G53" s="90"/>
      <c r="H53" s="8"/>
    </row>
    <row r="54" spans="2:15" ht="15.75" thickBot="1" x14ac:dyDescent="0.25">
      <c r="B54" s="11"/>
      <c r="C54" s="14"/>
      <c r="D54" s="14"/>
      <c r="E54" s="14"/>
      <c r="F54" s="14"/>
      <c r="G54" s="14"/>
      <c r="H54" s="15"/>
    </row>
    <row r="56" spans="2:15" ht="15.75" hidden="1" thickBot="1" x14ac:dyDescent="0.25">
      <c r="B56" s="3"/>
      <c r="C56" s="4"/>
      <c r="D56" s="4"/>
      <c r="E56" s="4"/>
      <c r="F56" s="4"/>
      <c r="G56" s="4"/>
      <c r="H56" s="5"/>
      <c r="N56" s="122"/>
      <c r="O56" s="122"/>
    </row>
    <row r="57" spans="2:15" ht="18.75" hidden="1" customHeight="1" thickBot="1" x14ac:dyDescent="0.25">
      <c r="B57" s="6"/>
      <c r="C57" s="255" t="s">
        <v>50</v>
      </c>
      <c r="D57" s="256"/>
      <c r="E57" s="256"/>
      <c r="F57" s="256"/>
      <c r="G57" s="257"/>
      <c r="H57" s="8"/>
      <c r="N57" s="122"/>
      <c r="O57" s="122"/>
    </row>
    <row r="58" spans="2:15" hidden="1" x14ac:dyDescent="0.2">
      <c r="B58" s="6"/>
      <c r="C58" s="2"/>
      <c r="D58" s="2"/>
      <c r="E58" s="2"/>
      <c r="H58" s="8"/>
      <c r="N58" s="122"/>
      <c r="O58" s="122"/>
    </row>
    <row r="59" spans="2:15" hidden="1" x14ac:dyDescent="0.2">
      <c r="B59" s="6"/>
      <c r="C59" s="2"/>
      <c r="D59" s="88" t="str">
        <f>CONCATENATE(D62,"/",D63,"/",D64)</f>
        <v>Sycamore Heights/29/20</v>
      </c>
      <c r="E59" s="2"/>
      <c r="H59" s="8"/>
      <c r="N59" s="122"/>
      <c r="O59" s="122"/>
    </row>
    <row r="60" spans="2:15" hidden="1" x14ac:dyDescent="0.2">
      <c r="B60" s="6"/>
      <c r="C60" s="17" t="s">
        <v>27</v>
      </c>
      <c r="D60" s="91" t="s">
        <v>42</v>
      </c>
      <c r="E60" s="2"/>
      <c r="F60" s="16" t="s">
        <v>25</v>
      </c>
      <c r="G60" s="16" t="s">
        <v>26</v>
      </c>
      <c r="H60" s="8"/>
      <c r="N60" s="122"/>
      <c r="O60" s="122"/>
    </row>
    <row r="61" spans="2:15" hidden="1" x14ac:dyDescent="0.2">
      <c r="B61" s="6"/>
      <c r="C61" s="17" t="s">
        <v>30</v>
      </c>
      <c r="D61" s="92" t="s">
        <v>51</v>
      </c>
      <c r="E61" s="2"/>
      <c r="F61" s="123" t="s">
        <v>32</v>
      </c>
      <c r="G61" s="123" t="s">
        <v>32</v>
      </c>
      <c r="H61" s="8"/>
      <c r="N61" s="122"/>
      <c r="O61" s="122"/>
    </row>
    <row r="62" spans="2:15" hidden="1" x14ac:dyDescent="0.2">
      <c r="B62" s="6"/>
      <c r="C62" s="17" t="s">
        <v>43</v>
      </c>
      <c r="D62" s="124" t="s">
        <v>50</v>
      </c>
      <c r="E62" s="2"/>
      <c r="F62" s="123" t="s">
        <v>33</v>
      </c>
      <c r="G62" s="123" t="s">
        <v>33</v>
      </c>
      <c r="H62" s="8"/>
      <c r="N62" s="122"/>
      <c r="O62" s="122"/>
    </row>
    <row r="63" spans="2:15" hidden="1" x14ac:dyDescent="0.2">
      <c r="B63" s="6"/>
      <c r="C63" s="17" t="s">
        <v>34</v>
      </c>
      <c r="D63" s="92">
        <v>29</v>
      </c>
      <c r="E63" s="2"/>
      <c r="F63" s="123" t="s">
        <v>35</v>
      </c>
      <c r="G63" s="123" t="s">
        <v>35</v>
      </c>
      <c r="H63" s="8"/>
    </row>
    <row r="64" spans="2:15" hidden="1" x14ac:dyDescent="0.2">
      <c r="B64" s="6"/>
      <c r="C64" s="1" t="s">
        <v>36</v>
      </c>
      <c r="D64" s="91">
        <v>20</v>
      </c>
      <c r="E64" s="2"/>
      <c r="F64" s="101" t="s">
        <v>44</v>
      </c>
      <c r="G64" s="101" t="s">
        <v>44</v>
      </c>
      <c r="H64" s="8"/>
    </row>
    <row r="65" spans="2:15" hidden="1" x14ac:dyDescent="0.2">
      <c r="B65" s="6"/>
      <c r="C65" s="17" t="s">
        <v>8</v>
      </c>
      <c r="D65" s="125">
        <f>VLOOKUP(D59,[1]Pricelist!E:J,3,0)</f>
        <v>519</v>
      </c>
      <c r="E65" s="2"/>
      <c r="F65" s="101" t="s">
        <v>45</v>
      </c>
      <c r="G65" s="101" t="s">
        <v>45</v>
      </c>
      <c r="H65" s="8"/>
    </row>
    <row r="66" spans="2:15" hidden="1" x14ac:dyDescent="0.2">
      <c r="B66" s="6"/>
      <c r="C66" s="17" t="s">
        <v>40</v>
      </c>
      <c r="D66" s="126">
        <f>VLOOKUP(D59,[1]Pricelist!E:J,6,0)</f>
        <v>9501899</v>
      </c>
      <c r="E66" s="2"/>
      <c r="F66" s="101" t="s">
        <v>39</v>
      </c>
      <c r="G66" s="101" t="s">
        <v>39</v>
      </c>
      <c r="H66" s="8"/>
    </row>
    <row r="67" spans="2:15" hidden="1" x14ac:dyDescent="0.2">
      <c r="B67" s="6"/>
      <c r="C67" s="17" t="s">
        <v>46</v>
      </c>
      <c r="D67" s="93" t="s">
        <v>47</v>
      </c>
      <c r="E67" s="2"/>
      <c r="F67" s="101"/>
      <c r="G67" s="101"/>
      <c r="H67" s="8"/>
      <c r="J67" s="2"/>
      <c r="K67" s="17"/>
      <c r="L67" s="127"/>
      <c r="M67" s="2"/>
      <c r="N67" s="128"/>
      <c r="O67" s="128"/>
    </row>
    <row r="68" spans="2:15" ht="15.75" hidden="1" thickBot="1" x14ac:dyDescent="0.25">
      <c r="B68" s="11"/>
      <c r="C68" s="129"/>
      <c r="D68" s="129"/>
      <c r="E68" s="129"/>
      <c r="F68" s="14"/>
      <c r="G68" s="14"/>
      <c r="H68" s="15"/>
    </row>
  </sheetData>
  <sheetProtection password="C931" sheet="1" selectLockedCells="1"/>
  <dataConsolidate/>
  <mergeCells count="5">
    <mergeCell ref="C9:G9"/>
    <mergeCell ref="C24:G24"/>
    <mergeCell ref="C38:G38"/>
    <mergeCell ref="C57:G57"/>
    <mergeCell ref="F49:F52"/>
  </mergeCells>
  <dataValidations count="5">
    <dataValidation type="list" allowBlank="1" showInputMessage="1" showErrorMessage="1" sqref="D42 D28 D13" xr:uid="{00000000-0002-0000-0100-000000000000}">
      <formula1>"Repeat Buyer, New Buyer"</formula1>
    </dataValidation>
    <dataValidation type="list" allowBlank="1" showInputMessage="1" showErrorMessage="1" sqref="D29" xr:uid="{00000000-0002-0000-0100-000001000000}">
      <formula1>"Fairfield, The Verandas"</formula1>
    </dataValidation>
    <dataValidation type="list" allowBlank="1" showInputMessage="1" showErrorMessage="1" sqref="D53 D34 D67" xr:uid="{00000000-0002-0000-0100-000002000000}">
      <formula1>"Give, Take"</formula1>
    </dataValidation>
    <dataValidation type="list" allowBlank="1" showInputMessage="1" showErrorMessage="1" sqref="D61" xr:uid="{00000000-0002-0000-0100-000003000000}">
      <formula1>"New Buyer, Repeat Buyer"</formula1>
    </dataValidation>
    <dataValidation type="list" allowBlank="1" showInputMessage="1" showErrorMessage="1" sqref="D43" xr:uid="{00000000-0002-0000-0100-000004000000}">
      <formula1>"Nob Hill, Sycamore Heights, Fairfield"</formula1>
    </dataValidation>
  </dataValidations>
  <hyperlinks>
    <hyperlink ref="F27" location="FField_Mem_Cash!A1" display="Cash" xr:uid="{00000000-0004-0000-0100-000000000000}"/>
    <hyperlink ref="F43" location="Classic_Non_Inst1!A1" display="50% Spot | 25% in 48 mos | 25% LS" xr:uid="{00000000-0004-0000-0100-000001000000}"/>
    <hyperlink ref="F44" location="Classic_Non_Inst2!A1" display="20% Spot | 45% in 48 mos | 35% LS" xr:uid="{00000000-0004-0000-0100-000002000000}"/>
    <hyperlink ref="F12" location="PH_Mem_Cash!A1" display="Cash" xr:uid="{00000000-0004-0000-0100-000003000000}"/>
    <hyperlink ref="F13" location="PH_Mem_Inst1!A1" display="50% Spot | 50% in 60 months" xr:uid="{00000000-0004-0000-0100-000004000000}"/>
    <hyperlink ref="F14" location="PH_Mem_Inst2!A1" display="20% Spot | 80% in 60 months" xr:uid="{00000000-0004-0000-0100-000005000000}"/>
    <hyperlink ref="F15" location="PH_Mem_Inst3!A1" display="10 - 40(36) -50" xr:uid="{00000000-0004-0000-0100-000006000000}"/>
    <hyperlink ref="F16" location="'PH_Mem_No DP'!A1" display="10(6) - 30(30) - 60" xr:uid="{00000000-0004-0000-0100-000007000000}"/>
    <hyperlink ref="G12" location="PH_Non_Cash!A1" display="Cash" xr:uid="{00000000-0004-0000-0100-000008000000}"/>
    <hyperlink ref="G13" location="PH_Non_Inst1!A1" display="50% Spot | 50% in 60 months" xr:uid="{00000000-0004-0000-0100-000009000000}"/>
    <hyperlink ref="G16" location="'PH_Non_No DP'!A1" display="10(6) - 30(30) - 60" xr:uid="{00000000-0004-0000-0100-00000A000000}"/>
    <hyperlink ref="G14" location="PH_Non_Inst2!A1" display="20% Spot | 80% in 60 months" xr:uid="{00000000-0004-0000-0100-00000B000000}"/>
    <hyperlink ref="G15" location="PH_Non_Inst3!A1" display="10 - 40(36) -50" xr:uid="{00000000-0004-0000-0100-00000C000000}"/>
    <hyperlink ref="G27" location="FField_Non_Cash!A1" display="Cash" xr:uid="{00000000-0004-0000-0100-00000D000000}"/>
    <hyperlink ref="F17" location="PH_Mem_Special!A1" display="20(30) - 80" xr:uid="{00000000-0004-0000-0100-00000E000000}"/>
    <hyperlink ref="F18" location="PH_Mem_Promo!A1" display="100% in 60 months" xr:uid="{00000000-0004-0000-0100-00000F000000}"/>
    <hyperlink ref="G17" location="PH_Non_Special!A1" display="20(30) - 80" xr:uid="{00000000-0004-0000-0100-000010000000}"/>
    <hyperlink ref="G18" location="PH_Non_Promo!A1" display="100% in 60 months" xr:uid="{00000000-0004-0000-0100-000011000000}"/>
    <hyperlink ref="F28" location="FField_Mem_Inst1!A1" display="50% Spot | 50% in 60 months" xr:uid="{00000000-0004-0000-0100-000012000000}"/>
    <hyperlink ref="F29" location="FField_Mem_Inst2!A1" display="20% Spot | 80% in 60 months" xr:uid="{00000000-0004-0000-0100-000013000000}"/>
    <hyperlink ref="F30" location="FField_Mem_Inst3!A1" display="10 - 40(36) - 50" xr:uid="{00000000-0004-0000-0100-000014000000}"/>
    <hyperlink ref="F31" location="'FField_Mem_No DP'!A1" display="5(12) - 10(24) - 15(24) - 70" xr:uid="{00000000-0004-0000-0100-000015000000}"/>
    <hyperlink ref="F32" location="FField_Mem_Special!A1" display="10(30) - 10(18) - 80" xr:uid="{00000000-0004-0000-0100-000016000000}"/>
    <hyperlink ref="F33" location="FField_Mem_Promo!A1" display="100% in 60 months" xr:uid="{00000000-0004-0000-0100-000017000000}"/>
    <hyperlink ref="G28" location="FField_Non_Inst1!A1" display="50% Spot | 50% in 60 months" xr:uid="{00000000-0004-0000-0100-000018000000}"/>
    <hyperlink ref="G29" location="FField_Non_Inst2!A1" display="20% Spot | 80% in 60 months" xr:uid="{00000000-0004-0000-0100-000019000000}"/>
    <hyperlink ref="G30" location="FField_Non_Inst3!A1" display="10 - 40(36) - 50" xr:uid="{00000000-0004-0000-0100-00001A000000}"/>
    <hyperlink ref="G31" location="'FField_Non_No DP'!A1" display="5(12) - 10(24) - 15(24) - 70" xr:uid="{00000000-0004-0000-0100-00001B000000}"/>
    <hyperlink ref="G32" location="FField_Non_Special!A1" display="10(30) - 10(18) - 80" xr:uid="{00000000-0004-0000-0100-00001C000000}"/>
    <hyperlink ref="G33" location="FField_Non_Promo!A1" display="100% in 60 months" xr:uid="{00000000-0004-0000-0100-00001D000000}"/>
    <hyperlink ref="F61" location="SH_Mem_Inst1!A1" display="50% Spot | 50% in 60 months" xr:uid="{00000000-0004-0000-0100-00001E000000}"/>
    <hyperlink ref="F62" location="SH_Mem_Inst2!A1" display="20% Spot | 80% in 60 months" xr:uid="{00000000-0004-0000-0100-00001F000000}"/>
    <hyperlink ref="F63" location="SH_Mem_Inst_3!A1" display="10 - 40(36) -50" xr:uid="{00000000-0004-0000-0100-000020000000}"/>
    <hyperlink ref="F64" location="'SH_Mem_No DP'!A1" display="10(6) - 30(30) - 60" xr:uid="{00000000-0004-0000-0100-000021000000}"/>
    <hyperlink ref="G61" location="SH_Non_Inst1!A1" display="50% Spot | 50% in 60 months" xr:uid="{00000000-0004-0000-0100-000022000000}"/>
    <hyperlink ref="G62" location="SH_Non_Inst2!A1" display="20% Spot | 80% in 60 months" xr:uid="{00000000-0004-0000-0100-000023000000}"/>
    <hyperlink ref="G63" location="SH_Non_Inst3!A1" display="10 - 40(36) -50" xr:uid="{00000000-0004-0000-0100-000024000000}"/>
    <hyperlink ref="G64" location="'SH_Non_No DP'!A1" display="10(6) - 30(30) - 60" xr:uid="{00000000-0004-0000-0100-000025000000}"/>
    <hyperlink ref="F65" location="SH_Mem_Special!A1" display="20(30) - 80" xr:uid="{00000000-0004-0000-0100-000026000000}"/>
    <hyperlink ref="F66" location="SH_Mem_Promo!A1" display="100% in 60 months" xr:uid="{00000000-0004-0000-0100-000027000000}"/>
    <hyperlink ref="G65" location="SH_Non_Special!A1" display="20(30) - 80" xr:uid="{00000000-0004-0000-0100-000028000000}"/>
    <hyperlink ref="G66" location="SH_Non_Promo!A1" display="100% in 60 months" xr:uid="{00000000-0004-0000-0100-000029000000}"/>
    <hyperlink ref="F42" location="Classic_Mem_Cash!Print_Area" display="100% in 30 days" xr:uid="{00000000-0004-0000-0100-00002A000000}"/>
    <hyperlink ref="F49:F52" location="SY_Non_Cash!Print_Area" display="SY_Non_Cash!Print_Area" xr:uid="{00000000-0004-0000-0100-00002B000000}"/>
    <hyperlink ref="F45" location="Classic_Non_Inst5!Print_Area" display="20% in 3mos | 40% in 36mos | 40% LS" xr:uid="{00000000-0004-0000-0100-00002C000000}"/>
  </hyperlinks>
  <pageMargins left="0.7" right="0.7" top="0.75" bottom="0.75" header="0.3" footer="0.3"/>
  <pageSetup orientation="portrait"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Pricelist!#REF!</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theme="9"/>
    <pageSetUpPr fitToPage="1"/>
  </sheetPr>
  <dimension ref="A1:AB76"/>
  <sheetViews>
    <sheetView tabSelected="1" topLeftCell="A24" zoomScale="115" zoomScaleNormal="115" zoomScalePageLayoutView="115" workbookViewId="0">
      <selection activeCell="L4" sqref="L4"/>
    </sheetView>
  </sheetViews>
  <sheetFormatPr defaultColWidth="8.875" defaultRowHeight="15" x14ac:dyDescent="0.2"/>
  <cols>
    <col min="1" max="1" width="15.33203125" style="22" customWidth="1"/>
    <col min="2" max="2" width="27.171875" style="22" customWidth="1"/>
    <col min="3" max="3" width="7.3984375" style="22" customWidth="1"/>
    <col min="4" max="4" width="25.69140625" style="22" customWidth="1"/>
    <col min="5" max="5" width="25.69140625" style="65" customWidth="1"/>
    <col min="6" max="7" width="25.69140625" style="65" hidden="1" customWidth="1"/>
    <col min="8" max="8" width="25.69140625" style="65" customWidth="1"/>
    <col min="9" max="9" width="25.69140625" style="22" customWidth="1"/>
    <col min="10" max="10" width="9.28125" style="22" hidden="1" customWidth="1"/>
    <col min="11" max="11" width="0" style="22" hidden="1" customWidth="1"/>
    <col min="12" max="12" width="26.09765625" style="22" customWidth="1"/>
    <col min="13" max="13" width="13.3164062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155"/>
      <c r="G2" s="155"/>
      <c r="H2" s="155"/>
      <c r="I2" s="283" t="s">
        <v>55</v>
      </c>
      <c r="J2" s="25"/>
      <c r="L2" s="282"/>
    </row>
    <row r="3" spans="2:28" x14ac:dyDescent="0.2">
      <c r="C3" s="23" t="str">
        <f>INPUT!D43</f>
        <v>Nob Hill</v>
      </c>
      <c r="F3" s="130"/>
      <c r="G3" s="130"/>
      <c r="H3" s="130"/>
      <c r="I3" s="283"/>
      <c r="J3" s="25"/>
      <c r="L3" s="282"/>
    </row>
    <row r="4" spans="2:28" x14ac:dyDescent="0.2">
      <c r="C4" s="23" t="s">
        <v>58</v>
      </c>
      <c r="F4" s="156"/>
      <c r="G4" s="156"/>
      <c r="H4" s="156"/>
      <c r="I4" s="25"/>
      <c r="J4" s="25"/>
      <c r="L4" s="27" t="s">
        <v>59</v>
      </c>
    </row>
    <row r="5" spans="2:28" ht="15.75" thickBot="1" x14ac:dyDescent="0.25">
      <c r="F5" s="156"/>
      <c r="G5" s="156"/>
      <c r="H5" s="156"/>
      <c r="I5" s="25"/>
      <c r="J5" s="25"/>
    </row>
    <row r="6" spans="2:28" ht="32.25" customHeight="1" thickBot="1" x14ac:dyDescent="0.25">
      <c r="B6" s="28" t="s">
        <v>27</v>
      </c>
      <c r="C6" s="284" t="str">
        <f>INPUT!D41</f>
        <v>Gela</v>
      </c>
      <c r="D6" s="285"/>
    </row>
    <row r="7" spans="2:28" x14ac:dyDescent="0.2">
      <c r="B7" s="29" t="s">
        <v>60</v>
      </c>
      <c r="C7" s="286" t="str">
        <f>CONCATENATE("Block"," ",INPUT!D44," ","Lot"," ",INPUT!D45)</f>
        <v>Block 5 Lot 5</v>
      </c>
      <c r="D7" s="287"/>
      <c r="E7" s="157"/>
      <c r="F7" s="156"/>
      <c r="G7" s="156"/>
      <c r="H7" s="156"/>
      <c r="L7" s="31"/>
      <c r="M7" s="31"/>
      <c r="N7" s="31"/>
    </row>
    <row r="8" spans="2:28" x14ac:dyDescent="0.2">
      <c r="B8" s="32" t="s">
        <v>8</v>
      </c>
      <c r="C8" s="288">
        <f>INPUT!D46</f>
        <v>597</v>
      </c>
      <c r="D8" s="289"/>
      <c r="L8" s="31"/>
      <c r="M8" s="31"/>
      <c r="N8" s="31"/>
    </row>
    <row r="9" spans="2:28" x14ac:dyDescent="0.2">
      <c r="B9" s="32" t="s">
        <v>61</v>
      </c>
      <c r="C9" s="280">
        <f>IF(OR(INPUT!$D$43="Sycamore Heights",INPUT!$D$43="Nob Hill",INPUT!$D$43="Cotswold"),INPUT!$D$47,"NOT APPLICABLE FOR THIS PROJECT")</f>
        <v>17314000</v>
      </c>
      <c r="D9" s="281"/>
      <c r="L9" s="142">
        <f>IF(INPUT!D43="Sycamore Heights",150000,650000)</f>
        <v>650000</v>
      </c>
      <c r="M9" s="31"/>
      <c r="N9" s="31"/>
    </row>
    <row r="10" spans="2:28" x14ac:dyDescent="0.2">
      <c r="B10" s="278" t="s">
        <v>62</v>
      </c>
      <c r="C10" s="270" t="s">
        <v>89</v>
      </c>
      <c r="D10" s="271"/>
      <c r="L10" s="31"/>
      <c r="M10" s="31"/>
      <c r="N10" s="31"/>
    </row>
    <row r="11" spans="2:28" ht="15.75" thickBot="1" x14ac:dyDescent="0.25">
      <c r="B11" s="279"/>
      <c r="C11" s="272" t="s">
        <v>255</v>
      </c>
      <c r="D11" s="273"/>
      <c r="L11" s="31"/>
      <c r="M11" s="31"/>
      <c r="N11" s="31"/>
    </row>
    <row r="12" spans="2:28" x14ac:dyDescent="0.2">
      <c r="I12" s="33"/>
      <c r="J12" s="33"/>
      <c r="K12" s="33"/>
      <c r="L12" s="86" t="s">
        <v>150</v>
      </c>
      <c r="M12" s="87">
        <v>0.02</v>
      </c>
      <c r="N12" s="33"/>
    </row>
    <row r="13" spans="2:28" x14ac:dyDescent="0.2">
      <c r="B13" s="34" t="s">
        <v>64</v>
      </c>
      <c r="C13" s="34"/>
      <c r="I13" s="33"/>
      <c r="J13" s="33"/>
      <c r="K13" s="33"/>
      <c r="L13" s="33"/>
      <c r="M13" s="87">
        <v>0</v>
      </c>
      <c r="N13" s="33"/>
    </row>
    <row r="14" spans="2:28" x14ac:dyDescent="0.2">
      <c r="B14" s="35" t="s">
        <v>264</v>
      </c>
      <c r="C14" s="36"/>
      <c r="D14" s="201">
        <f>C9</f>
        <v>17314000</v>
      </c>
      <c r="E14" s="154"/>
      <c r="F14" s="158"/>
      <c r="G14" s="158"/>
      <c r="H14" s="158"/>
      <c r="I14" s="33"/>
      <c r="J14" s="33"/>
      <c r="K14" s="95"/>
      <c r="L14" s="33"/>
      <c r="M14" s="33"/>
      <c r="N14" s="33"/>
      <c r="O14" s="33"/>
      <c r="P14" s="33"/>
      <c r="Q14" s="33"/>
      <c r="R14" s="33"/>
      <c r="S14" s="33"/>
      <c r="T14" s="31"/>
      <c r="U14" s="31"/>
      <c r="V14" s="31"/>
      <c r="W14" s="31"/>
      <c r="X14" s="31"/>
      <c r="Y14" s="31"/>
      <c r="Z14" s="31"/>
      <c r="AA14" s="31"/>
      <c r="AB14" s="31"/>
    </row>
    <row r="15" spans="2:28" hidden="1" x14ac:dyDescent="0.2">
      <c r="B15" s="115"/>
      <c r="C15" s="69"/>
      <c r="D15" s="42"/>
      <c r="E15" s="154"/>
      <c r="F15" s="158"/>
      <c r="G15" s="158"/>
      <c r="H15" s="158"/>
      <c r="I15" s="33"/>
      <c r="J15" s="33"/>
      <c r="K15" s="95"/>
      <c r="L15" s="33"/>
      <c r="M15" s="33"/>
      <c r="N15" s="33"/>
      <c r="O15" s="33"/>
      <c r="P15" s="33"/>
      <c r="Q15" s="33"/>
      <c r="R15" s="33"/>
      <c r="S15" s="33"/>
      <c r="T15" s="31"/>
      <c r="U15" s="31"/>
      <c r="V15" s="31"/>
      <c r="W15" s="31"/>
      <c r="X15" s="31"/>
      <c r="Y15" s="31"/>
      <c r="Z15" s="31"/>
      <c r="AA15" s="31"/>
      <c r="AB15" s="31"/>
    </row>
    <row r="16" spans="2:28" x14ac:dyDescent="0.2">
      <c r="B16" s="115" t="s">
        <v>67</v>
      </c>
      <c r="C16" s="69">
        <v>0.15</v>
      </c>
      <c r="D16" s="42">
        <f>IF(C16&gt;15%,"INVALID",((D14-D15)*C16))</f>
        <v>2597100</v>
      </c>
      <c r="E16" s="154"/>
      <c r="F16" s="158"/>
      <c r="G16" s="158"/>
      <c r="H16" s="158"/>
      <c r="I16" s="33"/>
      <c r="J16" s="33"/>
      <c r="K16" s="95"/>
      <c r="L16" s="33"/>
      <c r="M16" s="33"/>
      <c r="N16" s="33"/>
      <c r="O16" s="33"/>
      <c r="P16" s="33"/>
      <c r="Q16" s="33"/>
      <c r="R16" s="33"/>
      <c r="S16" s="33"/>
      <c r="T16" s="33"/>
      <c r="U16" s="33"/>
      <c r="V16" s="31"/>
      <c r="W16" s="31"/>
      <c r="X16" s="31"/>
      <c r="Y16" s="31"/>
      <c r="Z16" s="31"/>
      <c r="AA16" s="31"/>
      <c r="AB16" s="31"/>
    </row>
    <row r="17" spans="2:28" ht="14.25" hidden="1" customHeight="1" x14ac:dyDescent="0.2">
      <c r="B17" s="115"/>
      <c r="C17" s="69"/>
      <c r="D17" s="229"/>
      <c r="E17" s="154"/>
      <c r="F17" s="158"/>
      <c r="G17" s="158"/>
      <c r="H17" s="158"/>
      <c r="I17" s="33"/>
      <c r="J17" s="33"/>
      <c r="K17" s="95"/>
      <c r="L17" s="33"/>
      <c r="M17" s="33"/>
      <c r="N17" s="33"/>
      <c r="O17" s="33"/>
      <c r="P17" s="33"/>
      <c r="Q17" s="33"/>
      <c r="R17" s="33"/>
      <c r="S17" s="33"/>
      <c r="T17" s="33"/>
      <c r="U17" s="33"/>
      <c r="V17" s="31"/>
      <c r="W17" s="31"/>
      <c r="X17" s="31"/>
      <c r="Y17" s="31"/>
      <c r="Z17" s="31"/>
      <c r="AA17" s="31"/>
      <c r="AB17" s="31"/>
    </row>
    <row r="18" spans="2:28" x14ac:dyDescent="0.2">
      <c r="B18" s="115">
        <f>IF(INPUT!$D$42="Repeat Buyer",Classic_Mem_Inst1!$L$13,Classic_Mem_Inst1!$L$14)</f>
        <v>0</v>
      </c>
      <c r="C18" s="97">
        <f>IF(B18=Classic_Mem_Inst1!$L$13,Classic_Mem_Inst1!$M$13,Classic_Mem_Inst1!$M$14)</f>
        <v>0</v>
      </c>
      <c r="D18" s="42">
        <f>(D14-D16-D17)*C18</f>
        <v>0</v>
      </c>
      <c r="E18" s="154"/>
      <c r="F18" s="158"/>
      <c r="G18" s="158"/>
      <c r="H18" s="158"/>
      <c r="I18" s="33"/>
      <c r="J18" s="33"/>
      <c r="K18" s="95"/>
      <c r="L18" s="33"/>
      <c r="M18" s="33"/>
      <c r="N18" s="33"/>
      <c r="O18" s="33"/>
      <c r="P18" s="31"/>
      <c r="Q18" s="33"/>
      <c r="R18" s="33"/>
      <c r="S18" s="33"/>
      <c r="T18" s="33"/>
      <c r="U18" s="33"/>
      <c r="V18" s="31"/>
      <c r="W18" s="31"/>
      <c r="X18" s="31"/>
      <c r="Y18" s="31"/>
      <c r="Z18" s="31"/>
      <c r="AA18" s="31"/>
      <c r="AB18" s="31"/>
    </row>
    <row r="19" spans="2:28" x14ac:dyDescent="0.2">
      <c r="B19" s="40" t="s">
        <v>68</v>
      </c>
      <c r="C19" s="97">
        <v>0.05</v>
      </c>
      <c r="D19" s="42">
        <f>((D14-D16-D17-D18)/1.12)*C19</f>
        <v>657004.4642857142</v>
      </c>
      <c r="E19" s="159"/>
      <c r="F19" s="158"/>
      <c r="G19" s="158"/>
      <c r="H19" s="158"/>
      <c r="I19" s="33"/>
      <c r="J19" s="33"/>
      <c r="K19" s="95"/>
      <c r="L19" s="33"/>
      <c r="M19" s="33"/>
      <c r="N19" s="33"/>
      <c r="O19" s="33"/>
      <c r="P19" s="33"/>
      <c r="Q19" s="33"/>
      <c r="R19" s="33"/>
      <c r="S19" s="33"/>
      <c r="T19" s="31"/>
      <c r="U19" s="31"/>
      <c r="V19" s="31"/>
      <c r="W19" s="31"/>
      <c r="X19" s="31"/>
      <c r="Y19" s="31"/>
      <c r="Z19" s="31"/>
      <c r="AA19" s="31"/>
      <c r="AB19" s="31"/>
    </row>
    <row r="20" spans="2:28" hidden="1" x14ac:dyDescent="0.2">
      <c r="B20" s="40"/>
      <c r="C20" s="97"/>
      <c r="D20" s="42"/>
      <c r="E20" s="159"/>
      <c r="F20" s="158"/>
      <c r="G20" s="158"/>
      <c r="H20" s="158"/>
      <c r="I20" s="33"/>
      <c r="J20" s="33"/>
      <c r="K20" s="95"/>
      <c r="L20" s="33"/>
      <c r="M20" s="33"/>
      <c r="N20" s="33"/>
      <c r="O20" s="33"/>
      <c r="P20" s="33"/>
      <c r="Q20" s="33"/>
      <c r="R20" s="33"/>
      <c r="S20" s="33"/>
      <c r="T20" s="31"/>
      <c r="U20" s="31"/>
      <c r="V20" s="31"/>
      <c r="W20" s="31"/>
      <c r="X20" s="31"/>
      <c r="Y20" s="31"/>
      <c r="Z20" s="31"/>
      <c r="AA20" s="31"/>
      <c r="AB20" s="31"/>
    </row>
    <row r="21" spans="2:28" ht="15.75" thickBot="1" x14ac:dyDescent="0.25">
      <c r="B21" s="45" t="s">
        <v>265</v>
      </c>
      <c r="C21" s="46"/>
      <c r="D21" s="47">
        <f>(D14-SUM(D16:D18))+D19</f>
        <v>15373904.464285715</v>
      </c>
      <c r="E21" s="154"/>
      <c r="F21" s="158"/>
      <c r="G21" s="158"/>
      <c r="H21" s="158"/>
      <c r="I21" s="33"/>
      <c r="J21" s="33"/>
      <c r="K21" s="95"/>
      <c r="L21" s="33"/>
      <c r="M21" s="33"/>
      <c r="N21" s="33"/>
      <c r="O21" s="33"/>
      <c r="P21" s="33"/>
      <c r="Q21" s="33"/>
      <c r="R21" s="33"/>
      <c r="S21" s="33"/>
      <c r="T21" s="31"/>
      <c r="U21" s="31"/>
      <c r="V21" s="31"/>
      <c r="W21" s="31"/>
      <c r="X21" s="31"/>
      <c r="Y21" s="31"/>
      <c r="Z21" s="31"/>
      <c r="AA21" s="31"/>
      <c r="AB21" s="31"/>
    </row>
    <row r="22" spans="2:28" ht="16.5" thickTop="1" thickBot="1" x14ac:dyDescent="0.25">
      <c r="D22" s="202"/>
    </row>
    <row r="23" spans="2:28" ht="15.75" thickBot="1" x14ac:dyDescent="0.25">
      <c r="B23" s="274" t="s">
        <v>70</v>
      </c>
      <c r="C23" s="275"/>
      <c r="D23" s="78" t="s">
        <v>71</v>
      </c>
      <c r="E23" s="160" t="s">
        <v>72</v>
      </c>
      <c r="F23" s="160" t="s">
        <v>73</v>
      </c>
      <c r="G23" s="160" t="s">
        <v>74</v>
      </c>
      <c r="H23" s="160" t="s">
        <v>75</v>
      </c>
      <c r="I23" s="79" t="s">
        <v>76</v>
      </c>
      <c r="J23" s="33"/>
      <c r="K23" s="33"/>
      <c r="L23" s="33"/>
      <c r="M23" s="33"/>
      <c r="N23" s="33"/>
    </row>
    <row r="24" spans="2:28" x14ac:dyDescent="0.2">
      <c r="B24" s="276">
        <v>0</v>
      </c>
      <c r="C24" s="277"/>
      <c r="D24" s="182">
        <f ca="1">INPUT!D48</f>
        <v>45360</v>
      </c>
      <c r="E24" s="183" t="s">
        <v>77</v>
      </c>
      <c r="F24" s="184">
        <v>50000</v>
      </c>
      <c r="G24" s="184"/>
      <c r="H24" s="185">
        <f>SUM(F24:G24)</f>
        <v>50000</v>
      </c>
      <c r="I24" s="186">
        <f>D21-H24</f>
        <v>15323904.464285715</v>
      </c>
      <c r="J24" s="53" t="s">
        <v>78</v>
      </c>
      <c r="K24" s="33"/>
      <c r="L24" s="38">
        <v>56000</v>
      </c>
      <c r="M24" s="39">
        <f>L24-F24</f>
        <v>6000</v>
      </c>
      <c r="N24" s="33"/>
    </row>
    <row r="25" spans="2:28" hidden="1" x14ac:dyDescent="0.2">
      <c r="B25" s="264"/>
      <c r="C25" s="265"/>
      <c r="D25" s="70">
        <v>44948</v>
      </c>
      <c r="E25" s="161" t="s">
        <v>79</v>
      </c>
      <c r="F25" s="162"/>
      <c r="G25" s="162"/>
      <c r="H25" s="163">
        <v>0</v>
      </c>
      <c r="I25" s="187">
        <f>I24-H25</f>
        <v>15323904.464285715</v>
      </c>
      <c r="J25" s="53"/>
      <c r="K25" s="33"/>
      <c r="L25" s="38"/>
      <c r="M25" s="39"/>
      <c r="N25" s="33"/>
    </row>
    <row r="26" spans="2:28" x14ac:dyDescent="0.2">
      <c r="B26" s="264">
        <v>1</v>
      </c>
      <c r="C26" s="265"/>
      <c r="D26" s="70">
        <f ca="1">EDATE(D24,1)</f>
        <v>45391</v>
      </c>
      <c r="E26" s="164" t="s">
        <v>90</v>
      </c>
      <c r="F26" s="165">
        <f>ROUND((((D21-D19)*90%)-F24),2)</f>
        <v>13195210</v>
      </c>
      <c r="G26" s="165">
        <f>ROUND(((D19*90%)-G24),2)</f>
        <v>591304.02</v>
      </c>
      <c r="H26" s="166">
        <f>SUM(F26:G26)</f>
        <v>13786514.02</v>
      </c>
      <c r="I26" s="187">
        <f>I25-H26</f>
        <v>1537390.444285715</v>
      </c>
      <c r="J26" s="53"/>
      <c r="K26" s="33"/>
      <c r="L26" s="38"/>
      <c r="M26" s="39"/>
      <c r="N26" s="33"/>
    </row>
    <row r="27" spans="2:28" x14ac:dyDescent="0.2">
      <c r="B27" s="266">
        <v>2</v>
      </c>
      <c r="C27" s="267"/>
      <c r="D27" s="70">
        <f ca="1">EDATE(D26,1)</f>
        <v>45421</v>
      </c>
      <c r="E27" s="164" t="s">
        <v>91</v>
      </c>
      <c r="F27" s="165">
        <v>0</v>
      </c>
      <c r="G27" s="165">
        <v>0</v>
      </c>
      <c r="H27" s="165">
        <f t="shared" ref="H27:H37" si="0">SUM(F27:G27)</f>
        <v>0</v>
      </c>
      <c r="I27" s="188">
        <f t="shared" ref="I27:I38" si="1">I26-H27</f>
        <v>1537390.444285715</v>
      </c>
      <c r="J27" s="53"/>
      <c r="K27" s="33"/>
      <c r="L27" s="38"/>
      <c r="M27" s="39"/>
      <c r="N27" s="33"/>
    </row>
    <row r="28" spans="2:28" x14ac:dyDescent="0.2">
      <c r="B28" s="264">
        <v>3</v>
      </c>
      <c r="C28" s="265"/>
      <c r="D28" s="70">
        <f t="shared" ref="D28:D38" ca="1" si="2">EDATE(D27,1)</f>
        <v>45452</v>
      </c>
      <c r="E28" s="164" t="s">
        <v>92</v>
      </c>
      <c r="F28" s="165">
        <v>0</v>
      </c>
      <c r="G28" s="165">
        <v>0</v>
      </c>
      <c r="H28" s="165">
        <f t="shared" si="0"/>
        <v>0</v>
      </c>
      <c r="I28" s="188">
        <f t="shared" si="1"/>
        <v>1537390.444285715</v>
      </c>
      <c r="J28" s="53"/>
      <c r="K28" s="33"/>
      <c r="L28" s="38"/>
      <c r="M28" s="39"/>
      <c r="N28" s="33"/>
    </row>
    <row r="29" spans="2:28" x14ac:dyDescent="0.2">
      <c r="B29" s="266">
        <v>4</v>
      </c>
      <c r="C29" s="267"/>
      <c r="D29" s="70">
        <f t="shared" ca="1" si="2"/>
        <v>45482</v>
      </c>
      <c r="E29" s="164" t="s">
        <v>93</v>
      </c>
      <c r="F29" s="165">
        <v>0</v>
      </c>
      <c r="G29" s="165">
        <v>0</v>
      </c>
      <c r="H29" s="165">
        <f t="shared" si="0"/>
        <v>0</v>
      </c>
      <c r="I29" s="188">
        <f t="shared" si="1"/>
        <v>1537390.444285715</v>
      </c>
      <c r="J29" s="53"/>
      <c r="K29" s="33"/>
      <c r="L29" s="38"/>
      <c r="M29" s="39"/>
      <c r="N29" s="33"/>
    </row>
    <row r="30" spans="2:28" x14ac:dyDescent="0.2">
      <c r="B30" s="264">
        <v>5</v>
      </c>
      <c r="C30" s="265"/>
      <c r="D30" s="70">
        <f t="shared" ca="1" si="2"/>
        <v>45513</v>
      </c>
      <c r="E30" s="164" t="s">
        <v>94</v>
      </c>
      <c r="F30" s="165">
        <v>0</v>
      </c>
      <c r="G30" s="165">
        <v>0</v>
      </c>
      <c r="H30" s="165">
        <f t="shared" si="0"/>
        <v>0</v>
      </c>
      <c r="I30" s="188">
        <f t="shared" si="1"/>
        <v>1537390.444285715</v>
      </c>
      <c r="J30" s="53"/>
      <c r="K30" s="33"/>
      <c r="L30" s="38"/>
      <c r="M30" s="39"/>
      <c r="N30" s="33"/>
    </row>
    <row r="31" spans="2:28" x14ac:dyDescent="0.2">
      <c r="B31" s="266">
        <v>6</v>
      </c>
      <c r="C31" s="267"/>
      <c r="D31" s="70">
        <f t="shared" ca="1" si="2"/>
        <v>45544</v>
      </c>
      <c r="E31" s="164" t="s">
        <v>95</v>
      </c>
      <c r="F31" s="165">
        <v>0</v>
      </c>
      <c r="G31" s="165">
        <v>0</v>
      </c>
      <c r="H31" s="165">
        <f t="shared" si="0"/>
        <v>0</v>
      </c>
      <c r="I31" s="188">
        <f t="shared" si="1"/>
        <v>1537390.444285715</v>
      </c>
      <c r="J31" s="53"/>
      <c r="K31" s="33"/>
      <c r="L31" s="38"/>
      <c r="M31" s="39"/>
      <c r="N31" s="33"/>
    </row>
    <row r="32" spans="2:28" x14ac:dyDescent="0.2">
      <c r="B32" s="264">
        <v>7</v>
      </c>
      <c r="C32" s="265"/>
      <c r="D32" s="70">
        <f t="shared" ca="1" si="2"/>
        <v>45574</v>
      </c>
      <c r="E32" s="164" t="s">
        <v>96</v>
      </c>
      <c r="F32" s="165">
        <v>0</v>
      </c>
      <c r="G32" s="165">
        <v>0</v>
      </c>
      <c r="H32" s="165">
        <f t="shared" si="0"/>
        <v>0</v>
      </c>
      <c r="I32" s="188">
        <f t="shared" si="1"/>
        <v>1537390.444285715</v>
      </c>
      <c r="J32" s="53"/>
      <c r="K32" s="33"/>
      <c r="L32" s="38"/>
      <c r="M32" s="39"/>
      <c r="N32" s="33"/>
    </row>
    <row r="33" spans="2:18" x14ac:dyDescent="0.2">
      <c r="B33" s="266">
        <v>8</v>
      </c>
      <c r="C33" s="267"/>
      <c r="D33" s="70">
        <f t="shared" ca="1" si="2"/>
        <v>45605</v>
      </c>
      <c r="E33" s="164" t="s">
        <v>97</v>
      </c>
      <c r="F33" s="165">
        <v>0</v>
      </c>
      <c r="G33" s="165">
        <v>0</v>
      </c>
      <c r="H33" s="165">
        <f t="shared" si="0"/>
        <v>0</v>
      </c>
      <c r="I33" s="188">
        <f t="shared" si="1"/>
        <v>1537390.444285715</v>
      </c>
      <c r="J33" s="53"/>
      <c r="K33" s="33"/>
      <c r="L33" s="38"/>
      <c r="M33" s="39"/>
      <c r="N33" s="33"/>
    </row>
    <row r="34" spans="2:18" x14ac:dyDescent="0.2">
      <c r="B34" s="264">
        <v>9</v>
      </c>
      <c r="C34" s="265"/>
      <c r="D34" s="70">
        <f t="shared" ca="1" si="2"/>
        <v>45635</v>
      </c>
      <c r="E34" s="164" t="s">
        <v>98</v>
      </c>
      <c r="F34" s="165">
        <v>0</v>
      </c>
      <c r="G34" s="165">
        <v>0</v>
      </c>
      <c r="H34" s="165">
        <f t="shared" si="0"/>
        <v>0</v>
      </c>
      <c r="I34" s="188">
        <f t="shared" si="1"/>
        <v>1537390.444285715</v>
      </c>
      <c r="J34" s="53"/>
      <c r="K34" s="33"/>
      <c r="L34" s="38"/>
      <c r="M34" s="39"/>
      <c r="N34" s="33"/>
    </row>
    <row r="35" spans="2:18" x14ac:dyDescent="0.2">
      <c r="B35" s="266">
        <v>10</v>
      </c>
      <c r="C35" s="267"/>
      <c r="D35" s="70">
        <f t="shared" ca="1" si="2"/>
        <v>45666</v>
      </c>
      <c r="E35" s="164" t="s">
        <v>99</v>
      </c>
      <c r="F35" s="165">
        <v>0</v>
      </c>
      <c r="G35" s="165">
        <v>0</v>
      </c>
      <c r="H35" s="165">
        <f t="shared" si="0"/>
        <v>0</v>
      </c>
      <c r="I35" s="188">
        <f t="shared" si="1"/>
        <v>1537390.444285715</v>
      </c>
      <c r="J35" s="53"/>
      <c r="K35" s="33"/>
      <c r="L35" s="38"/>
      <c r="M35" s="39"/>
      <c r="N35" s="33"/>
    </row>
    <row r="36" spans="2:18" x14ac:dyDescent="0.2">
      <c r="B36" s="264">
        <v>11</v>
      </c>
      <c r="C36" s="265"/>
      <c r="D36" s="70">
        <f t="shared" ca="1" si="2"/>
        <v>45697</v>
      </c>
      <c r="E36" s="164" t="s">
        <v>100</v>
      </c>
      <c r="F36" s="165">
        <v>0</v>
      </c>
      <c r="G36" s="165">
        <v>0</v>
      </c>
      <c r="H36" s="165">
        <f t="shared" si="0"/>
        <v>0</v>
      </c>
      <c r="I36" s="188">
        <f t="shared" si="1"/>
        <v>1537390.444285715</v>
      </c>
      <c r="J36" s="53"/>
      <c r="K36" s="33"/>
      <c r="L36" s="38"/>
      <c r="M36" s="39"/>
      <c r="N36" s="33"/>
    </row>
    <row r="37" spans="2:18" x14ac:dyDescent="0.2">
      <c r="B37" s="266">
        <v>12</v>
      </c>
      <c r="C37" s="267"/>
      <c r="D37" s="70">
        <f t="shared" ca="1" si="2"/>
        <v>45725</v>
      </c>
      <c r="E37" s="164" t="s">
        <v>101</v>
      </c>
      <c r="F37" s="165">
        <v>0</v>
      </c>
      <c r="G37" s="165">
        <v>0</v>
      </c>
      <c r="H37" s="165">
        <f t="shared" si="0"/>
        <v>0</v>
      </c>
      <c r="I37" s="188">
        <f t="shared" si="1"/>
        <v>1537390.444285715</v>
      </c>
      <c r="J37" s="53"/>
      <c r="K37" s="33"/>
      <c r="L37" s="38"/>
      <c r="M37" s="39"/>
      <c r="N37" s="33"/>
    </row>
    <row r="38" spans="2:18" ht="15.75" thickBot="1" x14ac:dyDescent="0.25">
      <c r="B38" s="268">
        <v>13</v>
      </c>
      <c r="C38" s="269"/>
      <c r="D38" s="189">
        <f t="shared" ca="1" si="2"/>
        <v>45756</v>
      </c>
      <c r="E38" s="190" t="s">
        <v>102</v>
      </c>
      <c r="F38" s="191">
        <f>(D21-D19)-SUM(F24:F26)</f>
        <v>1471690</v>
      </c>
      <c r="G38" s="191">
        <f>D19-SUM(G24:G26)</f>
        <v>65700.444285714184</v>
      </c>
      <c r="H38" s="191">
        <f>SUM(F38:G38)</f>
        <v>1537390.4442857141</v>
      </c>
      <c r="I38" s="192">
        <f t="shared" si="1"/>
        <v>0</v>
      </c>
      <c r="J38" s="53"/>
      <c r="K38" s="33"/>
      <c r="L38" s="38"/>
      <c r="M38" s="39"/>
      <c r="N38" s="33"/>
    </row>
    <row r="39" spans="2:18" ht="15.75" thickBot="1" x14ac:dyDescent="0.25">
      <c r="B39" s="80"/>
      <c r="C39" s="81"/>
      <c r="D39" s="82"/>
      <c r="E39" s="167" t="s">
        <v>81</v>
      </c>
      <c r="F39" s="168">
        <f>SUM(F24:F38)</f>
        <v>14716900</v>
      </c>
      <c r="G39" s="168">
        <f>SUM(G24:G38)</f>
        <v>657004.4642857142</v>
      </c>
      <c r="H39" s="168">
        <f>SUM(H24:H38)</f>
        <v>15373904.464285713</v>
      </c>
      <c r="I39" s="85"/>
      <c r="J39" s="33"/>
      <c r="K39" s="33"/>
      <c r="L39" s="38">
        <f>SUM(L24:L38)</f>
        <v>56000</v>
      </c>
      <c r="M39" s="39">
        <f>L39-F39</f>
        <v>-14660900</v>
      </c>
      <c r="N39" s="33"/>
    </row>
    <row r="40" spans="2:18" x14ac:dyDescent="0.2">
      <c r="D40" s="60"/>
      <c r="L40" s="61"/>
    </row>
    <row r="41" spans="2:18" x14ac:dyDescent="0.2">
      <c r="B41" s="62" t="s">
        <v>82</v>
      </c>
      <c r="C41" s="62"/>
      <c r="D41" s="60"/>
      <c r="M41" s="33"/>
      <c r="N41" s="38"/>
      <c r="O41" s="33"/>
      <c r="P41" s="33"/>
      <c r="Q41" s="65"/>
      <c r="R41" s="65"/>
    </row>
    <row r="42" spans="2:18" ht="15" customHeight="1" x14ac:dyDescent="0.2">
      <c r="B42" s="261" t="s">
        <v>266</v>
      </c>
      <c r="C42" s="261"/>
      <c r="D42" s="261"/>
      <c r="E42" s="261"/>
      <c r="F42" s="261"/>
      <c r="G42" s="261"/>
      <c r="H42" s="261"/>
      <c r="I42" s="261"/>
      <c r="J42" s="111"/>
      <c r="K42" s="111"/>
      <c r="M42" s="33"/>
      <c r="N42" s="33"/>
      <c r="O42" s="33"/>
      <c r="P42" s="33"/>
      <c r="Q42" s="65"/>
      <c r="R42" s="65"/>
    </row>
    <row r="43" spans="2:18" ht="15" customHeight="1" x14ac:dyDescent="0.2">
      <c r="B43" s="261"/>
      <c r="C43" s="261"/>
      <c r="D43" s="261"/>
      <c r="E43" s="261"/>
      <c r="F43" s="261"/>
      <c r="G43" s="261"/>
      <c r="H43" s="261"/>
      <c r="I43" s="261"/>
      <c r="J43" s="260"/>
      <c r="K43" s="260"/>
      <c r="M43" s="33"/>
      <c r="N43" s="33"/>
      <c r="O43" s="33"/>
      <c r="P43" s="33"/>
      <c r="Q43" s="65"/>
      <c r="R43" s="65"/>
    </row>
    <row r="44" spans="2:18" ht="15" customHeight="1" x14ac:dyDescent="0.2">
      <c r="B44" s="261"/>
      <c r="C44" s="261"/>
      <c r="D44" s="261"/>
      <c r="E44" s="261"/>
      <c r="F44" s="261"/>
      <c r="G44" s="261"/>
      <c r="H44" s="261"/>
      <c r="I44" s="261"/>
      <c r="J44" s="260"/>
      <c r="K44" s="260"/>
      <c r="M44" s="33"/>
      <c r="N44" s="33"/>
      <c r="O44" s="33"/>
      <c r="P44" s="33"/>
      <c r="Q44" s="65"/>
      <c r="R44" s="65"/>
    </row>
    <row r="45" spans="2:18" x14ac:dyDescent="0.2">
      <c r="B45" s="261"/>
      <c r="C45" s="261"/>
      <c r="D45" s="261"/>
      <c r="E45" s="261"/>
      <c r="F45" s="261"/>
      <c r="G45" s="261"/>
      <c r="H45" s="261"/>
      <c r="I45" s="261"/>
      <c r="J45" s="260"/>
      <c r="K45" s="260"/>
      <c r="M45" s="33"/>
      <c r="N45" s="33"/>
      <c r="O45" s="33"/>
      <c r="P45" s="33"/>
      <c r="Q45" s="65"/>
      <c r="R45" s="65"/>
    </row>
    <row r="46" spans="2:18" ht="58.5" customHeight="1" x14ac:dyDescent="0.2">
      <c r="B46" s="261"/>
      <c r="C46" s="261"/>
      <c r="D46" s="261"/>
      <c r="E46" s="261"/>
      <c r="F46" s="261"/>
      <c r="G46" s="261"/>
      <c r="H46" s="261"/>
      <c r="I46" s="261"/>
      <c r="J46" s="260"/>
      <c r="K46" s="260"/>
      <c r="M46" s="33"/>
      <c r="N46" s="33"/>
      <c r="O46" s="33"/>
      <c r="P46" s="33"/>
      <c r="Q46" s="65"/>
      <c r="R46" s="65"/>
    </row>
    <row r="47" spans="2:18" ht="6.75" hidden="1" customHeight="1" x14ac:dyDescent="0.2">
      <c r="B47" s="261"/>
      <c r="C47" s="261"/>
      <c r="D47" s="261"/>
      <c r="E47" s="261"/>
      <c r="F47" s="261"/>
      <c r="G47" s="261"/>
      <c r="H47" s="261"/>
      <c r="I47" s="261"/>
      <c r="J47" s="260"/>
      <c r="K47" s="260"/>
      <c r="M47" s="33"/>
      <c r="N47" s="33"/>
      <c r="O47" s="33"/>
      <c r="P47" s="33"/>
      <c r="Q47" s="65"/>
      <c r="R47" s="65"/>
    </row>
    <row r="48" spans="2:18" ht="49.5" customHeight="1" x14ac:dyDescent="0.2">
      <c r="B48" s="261"/>
      <c r="C48" s="261"/>
      <c r="D48" s="261"/>
      <c r="E48" s="261"/>
      <c r="F48" s="261"/>
      <c r="G48" s="261"/>
      <c r="H48" s="261"/>
      <c r="I48" s="261"/>
      <c r="J48" s="260"/>
      <c r="K48" s="260"/>
      <c r="M48" s="33"/>
      <c r="N48" s="33"/>
      <c r="O48" s="33"/>
      <c r="P48" s="33"/>
      <c r="Q48" s="65"/>
      <c r="R48" s="65"/>
    </row>
    <row r="49" spans="1:18" ht="7.5" hidden="1" customHeight="1" x14ac:dyDescent="0.2">
      <c r="B49" s="261"/>
      <c r="C49" s="261"/>
      <c r="D49" s="261"/>
      <c r="E49" s="261"/>
      <c r="F49" s="261"/>
      <c r="G49" s="261"/>
      <c r="H49" s="261"/>
      <c r="I49" s="261"/>
      <c r="J49" s="260"/>
      <c r="K49" s="260"/>
      <c r="M49" s="33"/>
      <c r="N49" s="33"/>
      <c r="O49" s="33"/>
      <c r="P49" s="33"/>
      <c r="Q49" s="65"/>
      <c r="R49" s="65"/>
    </row>
    <row r="50" spans="1:18" ht="30" customHeight="1" x14ac:dyDescent="0.2">
      <c r="B50" s="261"/>
      <c r="C50" s="261"/>
      <c r="D50" s="261"/>
      <c r="E50" s="261"/>
      <c r="F50" s="261"/>
      <c r="G50" s="261"/>
      <c r="H50" s="261"/>
      <c r="I50" s="261"/>
      <c r="J50" s="260"/>
      <c r="K50" s="260"/>
      <c r="M50" s="33"/>
      <c r="N50" s="33"/>
      <c r="O50" s="33"/>
      <c r="P50" s="33"/>
      <c r="Q50" s="65"/>
      <c r="R50" s="65"/>
    </row>
    <row r="51" spans="1:18" hidden="1" x14ac:dyDescent="0.2">
      <c r="B51" s="63"/>
      <c r="C51" s="63"/>
      <c r="M51" s="33"/>
      <c r="N51" s="33"/>
      <c r="O51" s="33"/>
      <c r="P51" s="33"/>
      <c r="Q51" s="65"/>
      <c r="R51" s="65"/>
    </row>
    <row r="52" spans="1:18" hidden="1" x14ac:dyDescent="0.2">
      <c r="B52" s="64"/>
      <c r="C52" s="64"/>
      <c r="M52" s="33"/>
      <c r="N52" s="33"/>
      <c r="O52" s="33"/>
      <c r="P52" s="33"/>
      <c r="Q52" s="65"/>
      <c r="R52" s="65"/>
    </row>
    <row r="53" spans="1:18" hidden="1" x14ac:dyDescent="0.2">
      <c r="B53" s="64"/>
      <c r="C53" s="64"/>
      <c r="M53" s="33"/>
      <c r="N53" s="33"/>
      <c r="O53" s="33"/>
      <c r="P53" s="33"/>
      <c r="Q53" s="65"/>
      <c r="R53" s="65"/>
    </row>
    <row r="54" spans="1:18" hidden="1" x14ac:dyDescent="0.2">
      <c r="B54" s="64"/>
      <c r="C54" s="64"/>
      <c r="M54" s="33"/>
      <c r="N54" s="33"/>
      <c r="O54" s="33"/>
      <c r="P54" s="33"/>
      <c r="Q54" s="65"/>
      <c r="R54" s="65"/>
    </row>
    <row r="55" spans="1:18" hidden="1" x14ac:dyDescent="0.2">
      <c r="B55" s="64"/>
      <c r="C55" s="64"/>
      <c r="M55" s="33"/>
      <c r="N55" s="33"/>
      <c r="O55" s="33"/>
      <c r="P55" s="33"/>
      <c r="Q55" s="65"/>
      <c r="R55" s="65"/>
    </row>
    <row r="56" spans="1:18" s="65" customFormat="1" hidden="1" x14ac:dyDescent="0.2">
      <c r="A56" s="22"/>
      <c r="B56" s="64"/>
      <c r="C56" s="64"/>
      <c r="M56" s="33"/>
      <c r="N56" s="33"/>
      <c r="O56" s="33"/>
      <c r="P56" s="33"/>
    </row>
    <row r="57" spans="1:18" hidden="1" x14ac:dyDescent="0.2">
      <c r="M57" s="33"/>
      <c r="N57" s="33"/>
      <c r="O57" s="33"/>
      <c r="P57" s="33"/>
      <c r="Q57" s="65"/>
      <c r="R57" s="65"/>
    </row>
    <row r="58" spans="1:18" x14ac:dyDescent="0.2">
      <c r="B58" s="66" t="s">
        <v>84</v>
      </c>
      <c r="C58" s="66"/>
      <c r="M58" s="33"/>
      <c r="N58" s="33"/>
      <c r="O58" s="33"/>
      <c r="P58" s="33"/>
      <c r="Q58" s="65"/>
      <c r="R58" s="65"/>
    </row>
    <row r="59" spans="1:18" x14ac:dyDescent="0.2">
      <c r="M59" s="33"/>
      <c r="N59" s="33"/>
      <c r="O59" s="33"/>
      <c r="P59" s="33"/>
      <c r="Q59" s="65"/>
      <c r="R59" s="65"/>
    </row>
    <row r="60" spans="1:18" x14ac:dyDescent="0.2">
      <c r="M60" s="33"/>
      <c r="N60" s="33"/>
      <c r="O60" s="33"/>
      <c r="P60" s="33"/>
      <c r="Q60" s="65"/>
      <c r="R60" s="65"/>
    </row>
    <row r="61" spans="1:18" x14ac:dyDescent="0.2">
      <c r="B61" s="259" t="s">
        <v>85</v>
      </c>
      <c r="C61" s="259"/>
      <c r="D61" s="259"/>
      <c r="F61" s="259" t="s">
        <v>86</v>
      </c>
      <c r="G61" s="259"/>
      <c r="H61" s="259"/>
      <c r="I61" s="259"/>
      <c r="J61" s="259"/>
      <c r="K61" s="259"/>
      <c r="M61" s="33"/>
      <c r="N61" s="33"/>
      <c r="O61" s="33"/>
      <c r="P61" s="33"/>
      <c r="Q61" s="65"/>
      <c r="R61" s="65"/>
    </row>
    <row r="62" spans="1:18" x14ac:dyDescent="0.2">
      <c r="M62" s="33"/>
      <c r="N62" s="33"/>
      <c r="O62" s="33"/>
      <c r="P62" s="33"/>
      <c r="Q62" s="65"/>
      <c r="R62" s="65"/>
    </row>
    <row r="63" spans="1:18" x14ac:dyDescent="0.2">
      <c r="B63" s="67"/>
      <c r="C63" s="67"/>
      <c r="D63" s="67"/>
      <c r="I63" s="67"/>
    </row>
    <row r="64" spans="1:18" x14ac:dyDescent="0.2">
      <c r="B64" s="67"/>
      <c r="C64" s="67"/>
      <c r="D64" s="67"/>
      <c r="I64" s="67"/>
    </row>
    <row r="65" spans="2:10" x14ac:dyDescent="0.2">
      <c r="B65" s="67"/>
      <c r="C65" s="67"/>
      <c r="D65" s="67"/>
      <c r="I65" s="67"/>
    </row>
    <row r="66" spans="2:10" x14ac:dyDescent="0.2">
      <c r="B66" s="67"/>
      <c r="C66" s="67"/>
      <c r="D66" s="67"/>
      <c r="I66" s="67"/>
    </row>
    <row r="67" spans="2:10" x14ac:dyDescent="0.2">
      <c r="B67" s="262" t="s">
        <v>144</v>
      </c>
      <c r="C67" s="262"/>
      <c r="D67" s="262"/>
      <c r="E67" s="262"/>
      <c r="F67" s="262"/>
      <c r="G67" s="262"/>
      <c r="H67" s="262"/>
      <c r="I67" s="262"/>
      <c r="J67" s="68"/>
    </row>
    <row r="68" spans="2:10" x14ac:dyDescent="0.2">
      <c r="B68" s="263" t="s">
        <v>145</v>
      </c>
      <c r="C68" s="263"/>
      <c r="D68" s="263"/>
      <c r="E68" s="263"/>
      <c r="F68" s="263"/>
      <c r="G68" s="263"/>
      <c r="H68" s="263"/>
      <c r="I68" s="263"/>
      <c r="J68" s="68"/>
    </row>
    <row r="69" spans="2:10" x14ac:dyDescent="0.2">
      <c r="B69" s="262" t="s">
        <v>146</v>
      </c>
      <c r="C69" s="262"/>
      <c r="D69" s="262"/>
      <c r="E69" s="262"/>
      <c r="F69" s="262"/>
      <c r="G69" s="262"/>
      <c r="H69" s="262"/>
      <c r="I69" s="262"/>
      <c r="J69" s="68"/>
    </row>
    <row r="70" spans="2:10" x14ac:dyDescent="0.2">
      <c r="B70" s="262" t="s">
        <v>147</v>
      </c>
      <c r="C70" s="262"/>
      <c r="D70" s="262"/>
      <c r="E70" s="262"/>
      <c r="F70" s="262"/>
      <c r="G70" s="262"/>
      <c r="H70" s="262"/>
      <c r="I70" s="262"/>
      <c r="J70" s="68"/>
    </row>
    <row r="71" spans="2:10" x14ac:dyDescent="0.2">
      <c r="B71" s="262" t="s">
        <v>148</v>
      </c>
      <c r="C71" s="262"/>
      <c r="D71" s="262"/>
      <c r="E71" s="262"/>
      <c r="F71" s="262"/>
      <c r="G71" s="262"/>
      <c r="H71" s="262"/>
      <c r="I71" s="262"/>
      <c r="J71" s="68"/>
    </row>
    <row r="72" spans="2:10" x14ac:dyDescent="0.2">
      <c r="B72" s="68"/>
      <c r="C72" s="68"/>
      <c r="D72" s="68"/>
      <c r="E72" s="169"/>
      <c r="F72" s="169"/>
      <c r="G72" s="169"/>
      <c r="H72" s="169"/>
      <c r="I72" s="68"/>
      <c r="J72" s="68"/>
    </row>
    <row r="73" spans="2:10" x14ac:dyDescent="0.2">
      <c r="B73" s="67"/>
      <c r="C73" s="67"/>
      <c r="D73" s="67"/>
      <c r="I73" s="67"/>
    </row>
    <row r="74" spans="2:10" x14ac:dyDescent="0.2">
      <c r="B74" s="67"/>
      <c r="C74" s="67"/>
      <c r="D74" s="67"/>
      <c r="I74" s="67"/>
    </row>
    <row r="75" spans="2:10" x14ac:dyDescent="0.2">
      <c r="B75" s="67"/>
      <c r="C75" s="67"/>
      <c r="D75" s="67"/>
      <c r="I75" s="67"/>
    </row>
    <row r="76" spans="2:10" x14ac:dyDescent="0.2">
      <c r="B76" s="67"/>
      <c r="C76" s="67"/>
      <c r="D76" s="67"/>
      <c r="I76" s="67"/>
    </row>
  </sheetData>
  <sheetProtection password="C931" sheet="1" selectLockedCells="1"/>
  <mergeCells count="41">
    <mergeCell ref="C9:D9"/>
    <mergeCell ref="L1:L3"/>
    <mergeCell ref="I2:I3"/>
    <mergeCell ref="C6:D6"/>
    <mergeCell ref="C7:D7"/>
    <mergeCell ref="C8:D8"/>
    <mergeCell ref="B33:C33"/>
    <mergeCell ref="C10:D10"/>
    <mergeCell ref="C11:D11"/>
    <mergeCell ref="B23:C23"/>
    <mergeCell ref="B24:C24"/>
    <mergeCell ref="B26:C26"/>
    <mergeCell ref="B27:C27"/>
    <mergeCell ref="B28:C28"/>
    <mergeCell ref="B29:C29"/>
    <mergeCell ref="B30:C30"/>
    <mergeCell ref="B31:C31"/>
    <mergeCell ref="B32:C32"/>
    <mergeCell ref="B10:B11"/>
    <mergeCell ref="B25:C25"/>
    <mergeCell ref="B34:C34"/>
    <mergeCell ref="B35:C35"/>
    <mergeCell ref="B36:C36"/>
    <mergeCell ref="B37:C37"/>
    <mergeCell ref="B38:C38"/>
    <mergeCell ref="B69:I69"/>
    <mergeCell ref="B70:I70"/>
    <mergeCell ref="B71:I71"/>
    <mergeCell ref="B67:I67"/>
    <mergeCell ref="B68:I68"/>
    <mergeCell ref="B61:D61"/>
    <mergeCell ref="F61:K61"/>
    <mergeCell ref="J43:K43"/>
    <mergeCell ref="J44:K44"/>
    <mergeCell ref="J45:K45"/>
    <mergeCell ref="B42:I50"/>
    <mergeCell ref="J46:K46"/>
    <mergeCell ref="J47:K47"/>
    <mergeCell ref="J48:K48"/>
    <mergeCell ref="J49:K49"/>
    <mergeCell ref="J50:K50"/>
  </mergeCells>
  <hyperlinks>
    <hyperlink ref="L4" location="Input!A1" display="Return to Input" xr:uid="{00000000-0004-0000-0200-000000000000}"/>
  </hyperlinks>
  <printOptions horizontalCentered="1" verticalCentered="1"/>
  <pageMargins left="0.39370078740157483" right="0.39370078740157483" top="0" bottom="0" header="0.31496062992125984" footer="0.31496062992125984"/>
  <pageSetup paperSize="177" scale="71" orientation="portrait"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pageSetUpPr fitToPage="1"/>
  </sheetPr>
  <dimension ref="A1:AD101"/>
  <sheetViews>
    <sheetView topLeftCell="B4" zoomScale="130" zoomScaleNormal="130" zoomScalePageLayoutView="130" workbookViewId="0">
      <selection activeCell="L4" sqref="L4"/>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17.484375" style="22" hidden="1" customWidth="1"/>
    <col min="8" max="9" width="25.69140625" style="22" customWidth="1"/>
    <col min="10" max="10" width="9.28125" style="22" hidden="1" customWidth="1"/>
    <col min="11" max="11" width="0" style="22" hidden="1" customWidth="1"/>
    <col min="12" max="12" width="26.09765625" style="22" customWidth="1"/>
    <col min="13" max="13" width="15.19921875" style="33" bestFit="1" customWidth="1"/>
    <col min="14" max="14" width="11.43359375" style="33" bestFit="1" customWidth="1"/>
    <col min="15" max="16" width="8.875" style="33"/>
    <col min="17" max="18" width="8.875" style="65"/>
    <col min="19"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E1" s="33" t="s">
        <v>52</v>
      </c>
      <c r="F1" s="33"/>
      <c r="G1" s="33"/>
      <c r="H1" s="33">
        <v>650000</v>
      </c>
      <c r="L1" s="282"/>
    </row>
    <row r="2" spans="2:28" x14ac:dyDescent="0.2">
      <c r="C2" s="23" t="s">
        <v>53</v>
      </c>
      <c r="E2" s="33" t="s">
        <v>54</v>
      </c>
      <c r="F2" s="24"/>
      <c r="G2" s="24"/>
      <c r="H2" s="24">
        <v>150000</v>
      </c>
      <c r="I2" s="283" t="s">
        <v>55</v>
      </c>
      <c r="J2" s="25"/>
      <c r="L2" s="282"/>
      <c r="M2" s="33" t="s">
        <v>56</v>
      </c>
      <c r="N2" s="38">
        <f>150000</f>
        <v>150000</v>
      </c>
    </row>
    <row r="3" spans="2:28" x14ac:dyDescent="0.2">
      <c r="C3" s="23" t="str">
        <f>INPUT!D43</f>
        <v>Nob Hill</v>
      </c>
      <c r="F3" s="26"/>
      <c r="G3" s="26"/>
      <c r="H3" s="130"/>
      <c r="I3" s="283"/>
      <c r="J3" s="25"/>
      <c r="L3" s="282"/>
      <c r="M3" s="33" t="s">
        <v>57</v>
      </c>
      <c r="N3" s="38">
        <f>650000</f>
        <v>650000</v>
      </c>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row>
    <row r="8" spans="2:28" x14ac:dyDescent="0.2">
      <c r="B8" s="32" t="s">
        <v>8</v>
      </c>
      <c r="C8" s="288">
        <f>INPUT!D46</f>
        <v>597</v>
      </c>
      <c r="D8" s="289"/>
      <c r="J8" s="95"/>
      <c r="K8" s="95"/>
      <c r="L8" s="95"/>
    </row>
    <row r="9" spans="2:28" x14ac:dyDescent="0.2">
      <c r="B9" s="32" t="s">
        <v>61</v>
      </c>
      <c r="C9" s="280" t="str">
        <f>IF(OR(INPUT!$D$43="Nob Hill",INPUT!$D$43="Sycamore Heights",INPUT!$D$43="Cotswold"),"NOT APPLICABLE FOR THIS PROJECT",INPUT!$D$47)</f>
        <v>NOT APPLICABLE FOR THIS PROJECT</v>
      </c>
      <c r="D9" s="281"/>
      <c r="J9" s="95"/>
      <c r="K9" s="95"/>
      <c r="L9" s="31"/>
    </row>
    <row r="10" spans="2:28" ht="15.75" thickBot="1" x14ac:dyDescent="0.25">
      <c r="B10" s="137" t="s">
        <v>62</v>
      </c>
      <c r="C10" s="272" t="s">
        <v>49</v>
      </c>
      <c r="D10" s="273"/>
      <c r="J10" s="95"/>
      <c r="K10" s="95"/>
      <c r="L10" s="33"/>
      <c r="S10" s="33"/>
    </row>
    <row r="11" spans="2:28" x14ac:dyDescent="0.2">
      <c r="E11" s="33"/>
      <c r="F11" s="33"/>
      <c r="G11" s="33"/>
      <c r="H11" s="33"/>
      <c r="I11" s="33"/>
      <c r="J11" s="33"/>
      <c r="K11" s="33"/>
      <c r="L11" s="86" t="s">
        <v>63</v>
      </c>
      <c r="M11" s="87">
        <v>0.02</v>
      </c>
      <c r="S11" s="33"/>
    </row>
    <row r="12" spans="2:28" x14ac:dyDescent="0.2">
      <c r="B12" s="34" t="s">
        <v>64</v>
      </c>
      <c r="C12" s="34"/>
      <c r="E12" s="33"/>
      <c r="F12" s="33"/>
      <c r="G12" s="33"/>
      <c r="H12" s="33"/>
      <c r="I12" s="33"/>
      <c r="J12" s="33"/>
      <c r="K12" s="33"/>
      <c r="L12" s="33"/>
      <c r="M12" s="87">
        <v>0</v>
      </c>
      <c r="S12" s="33"/>
    </row>
    <row r="13" spans="2:28" x14ac:dyDescent="0.2">
      <c r="B13" s="35" t="s">
        <v>65</v>
      </c>
      <c r="C13" s="36"/>
      <c r="D13" s="37" t="str">
        <f>C9</f>
        <v>NOT APPLICABLE FOR THIS PROJECT</v>
      </c>
      <c r="E13" s="38" t="str">
        <f>C9</f>
        <v>NOT APPLICABLE FOR THIS PROJECT</v>
      </c>
      <c r="F13" s="39" t="e">
        <f t="shared" ref="F13:H13" si="0">D13-E13</f>
        <v>#VALUE!</v>
      </c>
      <c r="G13" s="39" t="e">
        <f t="shared" si="0"/>
        <v>#VALUE!</v>
      </c>
      <c r="H13" s="39" t="e">
        <f t="shared" si="0"/>
        <v>#VALUE!</v>
      </c>
      <c r="I13" s="33"/>
      <c r="J13" s="33"/>
      <c r="K13" s="95"/>
      <c r="L13" s="33"/>
      <c r="S13" s="33"/>
      <c r="T13" s="33"/>
      <c r="U13" s="33"/>
      <c r="V13" s="31"/>
      <c r="W13" s="31"/>
      <c r="X13" s="31"/>
      <c r="Y13" s="31"/>
      <c r="Z13" s="31"/>
      <c r="AA13" s="31"/>
      <c r="AB13" s="31"/>
    </row>
    <row r="14" spans="2:28" x14ac:dyDescent="0.2">
      <c r="B14" s="115" t="s">
        <v>67</v>
      </c>
      <c r="C14" s="69">
        <v>0.15</v>
      </c>
      <c r="D14" s="42" t="e">
        <f>IF(C14&gt;15%,"INVALID",(D13*C14))</f>
        <v>#VALUE!</v>
      </c>
      <c r="E14" s="38"/>
      <c r="F14" s="39"/>
      <c r="G14" s="39"/>
      <c r="H14" s="39"/>
      <c r="I14" s="33"/>
      <c r="J14" s="33"/>
      <c r="K14" s="95"/>
      <c r="L14" s="33"/>
      <c r="S14" s="33"/>
      <c r="T14" s="33"/>
      <c r="U14" s="33"/>
      <c r="V14" s="31"/>
      <c r="W14" s="31"/>
      <c r="X14" s="31"/>
      <c r="Y14" s="31"/>
      <c r="Z14" s="31"/>
      <c r="AA14" s="31"/>
      <c r="AB14" s="31"/>
    </row>
    <row r="15" spans="2:28" x14ac:dyDescent="0.2">
      <c r="B15" s="115">
        <f>IF(INPUT!$D$42="Repeat Buyer",Classic_Mem_Inst1!$L$13,Classic_Mem_Inst1!$L$14)</f>
        <v>0</v>
      </c>
      <c r="C15" s="97">
        <f>IF(B15=Classic_Mem_Inst1!$L$13,Classic_Mem_Inst1!$M$13,Classic_Mem_Inst1!$M$14)</f>
        <v>0</v>
      </c>
      <c r="D15" s="42" t="e">
        <f>(D13-D14)*C15</f>
        <v>#VALUE!</v>
      </c>
      <c r="E15" s="44"/>
      <c r="F15" s="39"/>
      <c r="G15" s="39"/>
      <c r="H15" s="39"/>
      <c r="I15" s="33"/>
      <c r="J15" s="33"/>
      <c r="K15" s="95"/>
      <c r="L15" s="33"/>
      <c r="S15" s="33"/>
      <c r="T15" s="33"/>
      <c r="U15" s="33"/>
      <c r="V15" s="31"/>
      <c r="W15" s="31"/>
      <c r="X15" s="31"/>
      <c r="Y15" s="31"/>
      <c r="Z15" s="31"/>
      <c r="AA15" s="31"/>
      <c r="AB15" s="31"/>
    </row>
    <row r="16" spans="2:28" x14ac:dyDescent="0.2">
      <c r="B16" s="40" t="s">
        <v>68</v>
      </c>
      <c r="C16" s="97">
        <v>0.05</v>
      </c>
      <c r="D16" s="42" t="e">
        <f>((D13-D14-D15)/1.12)*C16</f>
        <v>#VALUE!</v>
      </c>
      <c r="E16" s="44"/>
      <c r="F16" s="39"/>
      <c r="G16" s="39"/>
      <c r="H16" s="39"/>
      <c r="I16" s="33"/>
      <c r="J16" s="33"/>
      <c r="K16" s="95"/>
      <c r="L16" s="33"/>
      <c r="S16" s="33"/>
      <c r="T16" s="33"/>
      <c r="U16" s="33"/>
      <c r="V16" s="31"/>
      <c r="W16" s="31"/>
      <c r="X16" s="31"/>
      <c r="Y16" s="31"/>
      <c r="Z16" s="31"/>
      <c r="AA16" s="31"/>
      <c r="AB16" s="31"/>
    </row>
    <row r="17" spans="1:30" ht="15.75" thickBot="1" x14ac:dyDescent="0.25">
      <c r="B17" s="45" t="s">
        <v>265</v>
      </c>
      <c r="C17" s="46"/>
      <c r="D17" s="47" t="e">
        <f>(D13-D14-D15+D16)</f>
        <v>#VALUE!</v>
      </c>
      <c r="E17" s="38"/>
      <c r="F17" s="39"/>
      <c r="G17" s="39"/>
      <c r="H17" s="39"/>
      <c r="I17" s="33"/>
      <c r="J17" s="33"/>
      <c r="K17" s="95"/>
      <c r="L17" s="33"/>
      <c r="S17" s="33"/>
      <c r="T17" s="33"/>
      <c r="U17" s="33"/>
      <c r="V17" s="31"/>
      <c r="W17" s="31"/>
      <c r="X17" s="31"/>
      <c r="Y17" s="31"/>
      <c r="Z17" s="31"/>
      <c r="AA17" s="31"/>
      <c r="AB17" s="31"/>
    </row>
    <row r="18" spans="1:30" ht="16.5" thickTop="1" thickBot="1" x14ac:dyDescent="0.25">
      <c r="J18" s="33"/>
      <c r="K18" s="33"/>
      <c r="L18" s="33"/>
      <c r="S18" s="33"/>
    </row>
    <row r="19" spans="1:30" ht="15.75" thickBot="1" x14ac:dyDescent="0.25">
      <c r="B19" s="291" t="s">
        <v>70</v>
      </c>
      <c r="C19" s="292"/>
      <c r="D19" s="48" t="s">
        <v>71</v>
      </c>
      <c r="E19" s="48" t="s">
        <v>72</v>
      </c>
      <c r="F19" s="78" t="s">
        <v>73</v>
      </c>
      <c r="G19" s="78" t="s">
        <v>74</v>
      </c>
      <c r="H19" s="78" t="s">
        <v>75</v>
      </c>
      <c r="I19" s="49" t="s">
        <v>76</v>
      </c>
      <c r="J19" s="33"/>
      <c r="K19" s="33"/>
      <c r="L19" s="33"/>
      <c r="S19" s="33"/>
    </row>
    <row r="20" spans="1:30" x14ac:dyDescent="0.2">
      <c r="B20" s="293">
        <v>0</v>
      </c>
      <c r="C20" s="294"/>
      <c r="D20" s="50">
        <f ca="1">INPUT!D48</f>
        <v>45360</v>
      </c>
      <c r="E20" s="141" t="s">
        <v>77</v>
      </c>
      <c r="F20" s="51">
        <v>50000</v>
      </c>
      <c r="G20" s="51"/>
      <c r="H20" s="51">
        <f>SUM(F20:G20)</f>
        <v>50000</v>
      </c>
      <c r="I20" s="52" t="e">
        <f>D17-H20</f>
        <v>#VALUE!</v>
      </c>
      <c r="J20" s="53" t="s">
        <v>78</v>
      </c>
      <c r="K20" s="33"/>
      <c r="L20" s="38">
        <v>56000</v>
      </c>
      <c r="M20" s="39">
        <f>L20-F20</f>
        <v>6000</v>
      </c>
      <c r="S20" s="33"/>
    </row>
    <row r="21" spans="1:30" hidden="1" x14ac:dyDescent="0.2">
      <c r="B21" s="290"/>
      <c r="C21" s="265"/>
      <c r="D21" s="73"/>
      <c r="E21" s="74" t="s">
        <v>79</v>
      </c>
      <c r="F21" s="75"/>
      <c r="G21" s="75"/>
      <c r="H21" s="75">
        <v>0</v>
      </c>
      <c r="I21" s="76" t="e">
        <f>I20-H21</f>
        <v>#VALUE!</v>
      </c>
      <c r="J21" s="53"/>
      <c r="K21" s="33"/>
      <c r="L21" s="38"/>
      <c r="M21" s="39"/>
      <c r="S21" s="33"/>
    </row>
    <row r="22" spans="1:30" ht="15.75" thickBot="1" x14ac:dyDescent="0.25">
      <c r="B22" s="290">
        <f>B21+1</f>
        <v>1</v>
      </c>
      <c r="C22" s="265"/>
      <c r="D22" s="70">
        <f ca="1">EDATE(D20,1)</f>
        <v>45391</v>
      </c>
      <c r="E22" s="134" t="s">
        <v>80</v>
      </c>
      <c r="F22" s="71" t="e">
        <f>ROUND((((D17-D16)*100%)-F20),2)</f>
        <v>#VALUE!</v>
      </c>
      <c r="G22" s="71" t="e">
        <f>ROUND(((D16*100%)-G20),2)</f>
        <v>#VALUE!</v>
      </c>
      <c r="H22" s="71" t="e">
        <f>SUM(F22:G22)</f>
        <v>#VALUE!</v>
      </c>
      <c r="I22" s="76" t="e">
        <f>I21-H22</f>
        <v>#VALUE!</v>
      </c>
      <c r="J22" s="53"/>
      <c r="K22" s="33"/>
      <c r="L22" s="38"/>
      <c r="M22" s="39"/>
      <c r="S22" s="33"/>
    </row>
    <row r="23" spans="1:30" s="33" customFormat="1" ht="15.75" thickBot="1" x14ac:dyDescent="0.25">
      <c r="A23" s="22"/>
      <c r="B23" s="54"/>
      <c r="C23" s="55"/>
      <c r="D23" s="56"/>
      <c r="E23" s="57" t="s">
        <v>81</v>
      </c>
      <c r="F23" s="58" t="e">
        <f>SUM(F20:F22)</f>
        <v>#VALUE!</v>
      </c>
      <c r="G23" s="58" t="e">
        <f>SUM(G20:G22)</f>
        <v>#VALUE!</v>
      </c>
      <c r="H23" s="58" t="e">
        <f>SUM(H20:H22)</f>
        <v>#VALUE!</v>
      </c>
      <c r="I23" s="59"/>
      <c r="L23" s="38">
        <f>SUM(L20:L22)</f>
        <v>56000</v>
      </c>
      <c r="M23" s="39" t="e">
        <f>L23-F23</f>
        <v>#VALUE!</v>
      </c>
      <c r="Q23" s="65"/>
      <c r="R23" s="65"/>
      <c r="S23" s="22"/>
      <c r="T23" s="22"/>
      <c r="U23" s="22"/>
      <c r="V23" s="22"/>
      <c r="W23" s="22"/>
      <c r="X23" s="22"/>
      <c r="Y23" s="22"/>
      <c r="Z23" s="22"/>
      <c r="AA23" s="22"/>
      <c r="AB23" s="22"/>
      <c r="AC23" s="22"/>
      <c r="AD23" s="22"/>
    </row>
    <row r="24" spans="1:30" s="33" customFormat="1" x14ac:dyDescent="0.2">
      <c r="A24" s="22"/>
      <c r="B24" s="22"/>
      <c r="C24" s="22"/>
      <c r="D24" s="60"/>
      <c r="E24" s="22"/>
      <c r="F24" s="22"/>
      <c r="G24" s="22"/>
      <c r="H24" s="22"/>
      <c r="I24" s="22"/>
      <c r="J24" s="22"/>
      <c r="K24" s="22"/>
      <c r="L24" s="61"/>
      <c r="Q24" s="65"/>
      <c r="R24" s="65"/>
      <c r="S24" s="22"/>
      <c r="T24" s="22"/>
      <c r="U24" s="22"/>
      <c r="V24" s="22"/>
      <c r="W24" s="22"/>
      <c r="X24" s="22"/>
      <c r="Y24" s="22"/>
      <c r="Z24" s="22"/>
      <c r="AA24" s="22"/>
      <c r="AB24" s="22"/>
      <c r="AC24" s="22"/>
      <c r="AD24" s="22"/>
    </row>
    <row r="25" spans="1:30" s="33" customFormat="1" x14ac:dyDescent="0.2">
      <c r="A25" s="22"/>
      <c r="B25" s="62" t="s">
        <v>82</v>
      </c>
      <c r="C25" s="62"/>
      <c r="D25" s="60"/>
      <c r="E25" s="22"/>
      <c r="F25" s="22"/>
      <c r="G25" s="22"/>
      <c r="H25" s="22"/>
      <c r="I25" s="22"/>
      <c r="J25" s="22"/>
      <c r="K25" s="22"/>
      <c r="L25" s="22"/>
      <c r="N25" s="38"/>
      <c r="Q25" s="65"/>
      <c r="R25" s="65"/>
      <c r="S25" s="22"/>
      <c r="T25" s="22"/>
      <c r="U25" s="22"/>
      <c r="V25" s="22"/>
      <c r="W25" s="22"/>
      <c r="X25" s="22"/>
      <c r="Y25" s="22"/>
      <c r="Z25" s="22"/>
      <c r="AA25" s="22"/>
      <c r="AB25" s="22"/>
      <c r="AC25" s="22"/>
      <c r="AD25" s="22"/>
    </row>
    <row r="26" spans="1:30" s="33" customFormat="1" ht="15" customHeight="1" x14ac:dyDescent="0.2">
      <c r="A26" s="22"/>
      <c r="B26" s="261" t="s">
        <v>266</v>
      </c>
      <c r="C26" s="261"/>
      <c r="D26" s="261"/>
      <c r="E26" s="261"/>
      <c r="F26" s="261"/>
      <c r="G26" s="261"/>
      <c r="H26" s="261"/>
      <c r="I26" s="261"/>
      <c r="J26" s="111"/>
      <c r="K26" s="111"/>
      <c r="L26" s="22"/>
      <c r="Q26" s="65"/>
      <c r="R26" s="65"/>
      <c r="S26" s="22"/>
      <c r="T26" s="22"/>
      <c r="U26" s="22"/>
      <c r="V26" s="22"/>
      <c r="W26" s="22"/>
      <c r="X26" s="22"/>
      <c r="Y26" s="22"/>
      <c r="Z26" s="22"/>
      <c r="AA26" s="22"/>
      <c r="AB26" s="22"/>
      <c r="AC26" s="22"/>
      <c r="AD26" s="22"/>
    </row>
    <row r="27" spans="1:30" s="33" customFormat="1" ht="15" customHeight="1" x14ac:dyDescent="0.2">
      <c r="A27" s="22"/>
      <c r="B27" s="261"/>
      <c r="C27" s="261"/>
      <c r="D27" s="261"/>
      <c r="E27" s="261"/>
      <c r="F27" s="261"/>
      <c r="G27" s="261"/>
      <c r="H27" s="261"/>
      <c r="I27" s="261"/>
      <c r="J27" s="260"/>
      <c r="K27" s="260"/>
      <c r="L27" s="22"/>
      <c r="Q27" s="65"/>
      <c r="R27" s="65"/>
      <c r="S27" s="22"/>
      <c r="T27" s="22"/>
      <c r="U27" s="22"/>
      <c r="V27" s="22"/>
      <c r="W27" s="22"/>
      <c r="X27" s="22"/>
      <c r="Y27" s="22"/>
      <c r="Z27" s="22"/>
      <c r="AA27" s="22"/>
      <c r="AB27" s="22"/>
      <c r="AC27" s="22"/>
      <c r="AD27" s="22"/>
    </row>
    <row r="28" spans="1:30" s="33" customFormat="1" ht="15" customHeight="1" x14ac:dyDescent="0.2">
      <c r="A28" s="22"/>
      <c r="B28" s="261"/>
      <c r="C28" s="261"/>
      <c r="D28" s="261"/>
      <c r="E28" s="261"/>
      <c r="F28" s="261"/>
      <c r="G28" s="261"/>
      <c r="H28" s="261"/>
      <c r="I28" s="261"/>
      <c r="J28" s="260"/>
      <c r="K28" s="260"/>
      <c r="L28" s="22"/>
      <c r="Q28" s="65"/>
      <c r="R28" s="65"/>
      <c r="S28" s="22"/>
      <c r="T28" s="22"/>
      <c r="U28" s="22"/>
      <c r="V28" s="22"/>
      <c r="W28" s="22"/>
      <c r="X28" s="22"/>
      <c r="Y28" s="22"/>
      <c r="Z28" s="22"/>
      <c r="AA28" s="22"/>
      <c r="AB28" s="22"/>
      <c r="AC28" s="22"/>
      <c r="AD28" s="22"/>
    </row>
    <row r="29" spans="1:30" s="33" customFormat="1" x14ac:dyDescent="0.2">
      <c r="A29" s="22"/>
      <c r="B29" s="261"/>
      <c r="C29" s="261"/>
      <c r="D29" s="261"/>
      <c r="E29" s="261"/>
      <c r="F29" s="261"/>
      <c r="G29" s="261"/>
      <c r="H29" s="261"/>
      <c r="I29" s="261"/>
      <c r="J29" s="260"/>
      <c r="K29" s="260"/>
      <c r="L29" s="22"/>
      <c r="Q29" s="65"/>
      <c r="R29" s="65"/>
      <c r="S29" s="22"/>
      <c r="T29" s="22"/>
      <c r="U29" s="22"/>
      <c r="V29" s="22"/>
      <c r="W29" s="22"/>
      <c r="X29" s="22"/>
      <c r="Y29" s="22"/>
      <c r="Z29" s="22"/>
      <c r="AA29" s="22"/>
      <c r="AB29" s="22"/>
      <c r="AC29" s="22"/>
      <c r="AD29" s="22"/>
    </row>
    <row r="30" spans="1:30" s="33" customFormat="1" ht="58.5" customHeight="1" x14ac:dyDescent="0.2">
      <c r="A30" s="22"/>
      <c r="B30" s="261"/>
      <c r="C30" s="261"/>
      <c r="D30" s="261"/>
      <c r="E30" s="261"/>
      <c r="F30" s="261"/>
      <c r="G30" s="261"/>
      <c r="H30" s="261"/>
      <c r="I30" s="261"/>
      <c r="J30" s="260"/>
      <c r="K30" s="260"/>
      <c r="L30" s="22"/>
      <c r="Q30" s="65"/>
      <c r="R30" s="65"/>
      <c r="S30" s="22"/>
      <c r="T30" s="22"/>
      <c r="U30" s="22"/>
      <c r="V30" s="22"/>
      <c r="W30" s="22"/>
      <c r="X30" s="22"/>
      <c r="Y30" s="22"/>
      <c r="Z30" s="22"/>
      <c r="AA30" s="22"/>
      <c r="AB30" s="22"/>
      <c r="AC30" s="22"/>
      <c r="AD30" s="22"/>
    </row>
    <row r="31" spans="1:30" s="33" customFormat="1" ht="6.75" customHeight="1" x14ac:dyDescent="0.2">
      <c r="A31" s="22"/>
      <c r="B31" s="261"/>
      <c r="C31" s="261"/>
      <c r="D31" s="261"/>
      <c r="E31" s="261"/>
      <c r="F31" s="261"/>
      <c r="G31" s="261"/>
      <c r="H31" s="261"/>
      <c r="I31" s="261"/>
      <c r="J31" s="260"/>
      <c r="K31" s="260"/>
      <c r="L31" s="22"/>
      <c r="Q31" s="65"/>
      <c r="R31" s="65"/>
      <c r="S31" s="22"/>
      <c r="T31" s="22"/>
      <c r="U31" s="22"/>
      <c r="V31" s="22"/>
      <c r="W31" s="22"/>
      <c r="X31" s="22"/>
      <c r="Y31" s="22"/>
      <c r="Z31" s="22"/>
      <c r="AA31" s="22"/>
      <c r="AB31" s="22"/>
      <c r="AC31" s="22"/>
      <c r="AD31" s="22"/>
    </row>
    <row r="32" spans="1:30" s="33" customFormat="1" ht="49.5" customHeight="1" x14ac:dyDescent="0.2">
      <c r="A32" s="22"/>
      <c r="B32" s="261"/>
      <c r="C32" s="261"/>
      <c r="D32" s="261"/>
      <c r="E32" s="261"/>
      <c r="F32" s="261"/>
      <c r="G32" s="261"/>
      <c r="H32" s="261"/>
      <c r="I32" s="261"/>
      <c r="J32" s="260"/>
      <c r="K32" s="260"/>
      <c r="L32" s="22"/>
      <c r="Q32" s="65"/>
      <c r="R32" s="65"/>
      <c r="S32" s="22"/>
      <c r="T32" s="22"/>
      <c r="U32" s="22"/>
      <c r="V32" s="22"/>
      <c r="W32" s="22"/>
      <c r="X32" s="22"/>
      <c r="Y32" s="22"/>
      <c r="Z32" s="22"/>
      <c r="AA32" s="22"/>
      <c r="AB32" s="22"/>
      <c r="AC32" s="22"/>
      <c r="AD32" s="22"/>
    </row>
    <row r="33" spans="1:30" s="33" customFormat="1" ht="7.5" customHeight="1" x14ac:dyDescent="0.2">
      <c r="A33" s="22"/>
      <c r="B33" s="261"/>
      <c r="C33" s="261"/>
      <c r="D33" s="261"/>
      <c r="E33" s="261"/>
      <c r="F33" s="261"/>
      <c r="G33" s="261"/>
      <c r="H33" s="261"/>
      <c r="I33" s="261"/>
      <c r="J33" s="260"/>
      <c r="K33" s="260"/>
      <c r="L33" s="22"/>
      <c r="Q33" s="65"/>
      <c r="R33" s="65"/>
      <c r="S33" s="22"/>
      <c r="T33" s="22"/>
      <c r="U33" s="22"/>
      <c r="V33" s="22"/>
      <c r="W33" s="22"/>
      <c r="X33" s="22"/>
      <c r="Y33" s="22"/>
      <c r="Z33" s="22"/>
      <c r="AA33" s="22"/>
      <c r="AB33" s="22"/>
      <c r="AC33" s="22"/>
      <c r="AD33" s="22"/>
    </row>
    <row r="34" spans="1:30" s="33" customFormat="1" ht="30" customHeight="1" x14ac:dyDescent="0.2">
      <c r="A34" s="22"/>
      <c r="B34" s="261"/>
      <c r="C34" s="261"/>
      <c r="D34" s="261"/>
      <c r="E34" s="261"/>
      <c r="F34" s="261"/>
      <c r="G34" s="261"/>
      <c r="H34" s="261"/>
      <c r="I34" s="261"/>
      <c r="J34" s="260"/>
      <c r="K34" s="260"/>
      <c r="L34" s="22"/>
      <c r="Q34" s="65"/>
      <c r="R34" s="65"/>
      <c r="S34" s="22"/>
      <c r="T34" s="22"/>
      <c r="U34" s="22"/>
      <c r="V34" s="22"/>
      <c r="W34" s="22"/>
      <c r="X34" s="22"/>
      <c r="Y34" s="22"/>
      <c r="Z34" s="22"/>
      <c r="AA34" s="22"/>
      <c r="AB34" s="22"/>
      <c r="AC34" s="22"/>
      <c r="AD34" s="22"/>
    </row>
    <row r="35" spans="1:30" s="33" customFormat="1" x14ac:dyDescent="0.2">
      <c r="A35" s="22"/>
      <c r="B35" s="63"/>
      <c r="C35" s="63"/>
      <c r="D35" s="22"/>
      <c r="E35" s="22"/>
      <c r="F35" s="22"/>
      <c r="G35" s="22"/>
      <c r="H35" s="22"/>
      <c r="I35" s="22"/>
      <c r="J35" s="22"/>
      <c r="K35" s="22"/>
      <c r="L35" s="22"/>
      <c r="Q35" s="65"/>
      <c r="R35" s="65"/>
      <c r="S35" s="22"/>
      <c r="T35" s="22"/>
      <c r="U35" s="22"/>
      <c r="V35" s="22"/>
      <c r="W35" s="22"/>
      <c r="X35" s="22"/>
      <c r="Y35" s="22"/>
      <c r="Z35" s="22"/>
      <c r="AA35" s="22"/>
      <c r="AB35" s="22"/>
      <c r="AC35" s="22"/>
      <c r="AD35" s="22"/>
    </row>
    <row r="36" spans="1:30" s="33" customFormat="1" x14ac:dyDescent="0.2">
      <c r="A36" s="22"/>
      <c r="B36" s="64"/>
      <c r="C36" s="64"/>
      <c r="D36" s="22"/>
      <c r="E36" s="22"/>
      <c r="F36" s="22"/>
      <c r="G36" s="22"/>
      <c r="H36" s="22"/>
      <c r="I36" s="22"/>
      <c r="J36" s="22"/>
      <c r="K36" s="22"/>
      <c r="L36" s="22"/>
      <c r="Q36" s="65"/>
      <c r="R36" s="65"/>
      <c r="S36" s="22"/>
      <c r="T36" s="22"/>
      <c r="U36" s="22"/>
      <c r="V36" s="22"/>
      <c r="W36" s="22"/>
      <c r="X36" s="22"/>
      <c r="Y36" s="22"/>
      <c r="Z36" s="22"/>
      <c r="AA36" s="22"/>
      <c r="AB36" s="22"/>
      <c r="AC36" s="22"/>
      <c r="AD36" s="22"/>
    </row>
    <row r="37" spans="1:30" x14ac:dyDescent="0.2">
      <c r="B37" s="64"/>
      <c r="C37" s="64"/>
    </row>
    <row r="38" spans="1:30" x14ac:dyDescent="0.2">
      <c r="B38" s="64"/>
      <c r="C38" s="64"/>
    </row>
    <row r="39" spans="1:30" x14ac:dyDescent="0.2">
      <c r="B39" s="64"/>
      <c r="C39" s="64"/>
    </row>
    <row r="40" spans="1:30" s="65" customFormat="1" x14ac:dyDescent="0.2">
      <c r="A40" s="22"/>
      <c r="B40" s="64"/>
      <c r="C40" s="64"/>
      <c r="M40" s="33"/>
      <c r="N40" s="33"/>
      <c r="O40" s="33"/>
      <c r="P40" s="33"/>
    </row>
    <row r="42" spans="1:30" x14ac:dyDescent="0.2">
      <c r="B42" s="66" t="s">
        <v>84</v>
      </c>
      <c r="C42" s="66"/>
    </row>
    <row r="45" spans="1:30" x14ac:dyDescent="0.2">
      <c r="B45" s="259" t="s">
        <v>85</v>
      </c>
      <c r="C45" s="259"/>
      <c r="D45" s="259"/>
      <c r="F45" s="259" t="s">
        <v>86</v>
      </c>
      <c r="G45" s="259"/>
      <c r="H45" s="259"/>
      <c r="I45" s="259"/>
      <c r="J45" s="259"/>
      <c r="K45" s="259"/>
    </row>
    <row r="47" spans="1:30" x14ac:dyDescent="0.2">
      <c r="B47" s="67"/>
      <c r="C47" s="67"/>
      <c r="D47" s="67"/>
      <c r="E47" s="67"/>
      <c r="F47" s="67"/>
      <c r="G47" s="67"/>
      <c r="H47" s="67"/>
      <c r="I47" s="67"/>
      <c r="J47" s="67"/>
      <c r="K47" s="67"/>
      <c r="L47" s="33"/>
      <c r="S47" s="33"/>
      <c r="T47" s="33"/>
      <c r="U47" s="33"/>
      <c r="V47" s="31"/>
      <c r="W47" s="31"/>
      <c r="X47" s="31"/>
      <c r="Y47" s="31"/>
      <c r="Z47" s="31"/>
      <c r="AA47" s="31"/>
      <c r="AB47" s="31"/>
      <c r="AC47" s="31"/>
      <c r="AD47" s="31"/>
    </row>
    <row r="48" spans="1:30" x14ac:dyDescent="0.2">
      <c r="B48" s="65"/>
      <c r="C48" s="65"/>
      <c r="D48" s="65"/>
      <c r="E48" s="65"/>
      <c r="F48" s="65"/>
      <c r="G48" s="65"/>
      <c r="H48" s="65"/>
      <c r="I48" s="65"/>
      <c r="J48" s="67"/>
      <c r="K48" s="67"/>
      <c r="L48" s="33"/>
      <c r="S48" s="33"/>
      <c r="T48" s="33"/>
      <c r="U48" s="33"/>
      <c r="V48" s="31"/>
      <c r="W48" s="31"/>
      <c r="X48" s="31"/>
      <c r="Y48" s="31"/>
      <c r="Z48" s="31"/>
      <c r="AA48" s="31"/>
      <c r="AB48" s="31"/>
      <c r="AC48" s="31"/>
      <c r="AD48" s="31"/>
    </row>
    <row r="49" spans="1:14" x14ac:dyDescent="0.2">
      <c r="B49" s="65"/>
      <c r="C49" s="65"/>
      <c r="D49" s="65"/>
      <c r="E49" s="65"/>
      <c r="F49" s="65"/>
      <c r="G49" s="65"/>
      <c r="H49" s="65"/>
      <c r="I49" s="65"/>
    </row>
    <row r="50" spans="1:14" ht="36.75" customHeight="1" x14ac:dyDescent="0.2">
      <c r="A50" s="65"/>
      <c r="B50" s="295"/>
      <c r="C50" s="295"/>
      <c r="D50" s="295"/>
      <c r="E50" s="295"/>
      <c r="F50" s="295"/>
      <c r="G50" s="295"/>
      <c r="H50" s="295"/>
      <c r="I50" s="295"/>
      <c r="J50" s="110"/>
      <c r="K50" s="31"/>
      <c r="L50" s="31"/>
      <c r="M50" s="31"/>
      <c r="N50" s="31"/>
    </row>
    <row r="51" spans="1:14" x14ac:dyDescent="0.2">
      <c r="A51" s="65"/>
      <c r="B51" s="295"/>
      <c r="C51" s="295"/>
      <c r="D51" s="295"/>
      <c r="E51" s="295"/>
      <c r="F51" s="295"/>
      <c r="G51" s="295"/>
      <c r="H51" s="295"/>
      <c r="I51" s="295"/>
      <c r="J51" s="31"/>
      <c r="K51" s="31"/>
      <c r="L51" s="31"/>
      <c r="M51" s="31"/>
      <c r="N51" s="31"/>
    </row>
    <row r="52" spans="1:14" x14ac:dyDescent="0.2">
      <c r="A52" s="65"/>
      <c r="B52" s="135"/>
      <c r="C52" s="135"/>
      <c r="D52" s="135"/>
      <c r="E52" s="135"/>
      <c r="F52" s="135"/>
      <c r="G52" s="135"/>
      <c r="H52" s="135"/>
      <c r="I52" s="135"/>
      <c r="J52" s="31"/>
      <c r="K52" s="31"/>
      <c r="L52" s="31"/>
      <c r="M52" s="31"/>
      <c r="N52" s="31"/>
    </row>
    <row r="53" spans="1:14" ht="36.75" customHeight="1" x14ac:dyDescent="0.2">
      <c r="A53" s="65"/>
      <c r="B53" s="295"/>
      <c r="C53" s="295"/>
      <c r="D53" s="295"/>
      <c r="E53" s="295"/>
      <c r="F53" s="295"/>
      <c r="G53" s="295"/>
      <c r="H53" s="295"/>
      <c r="I53" s="295"/>
      <c r="J53" s="110"/>
      <c r="K53" s="31"/>
      <c r="L53" s="31"/>
      <c r="M53" s="31"/>
      <c r="N53" s="31"/>
    </row>
    <row r="54" spans="1:14" s="33" customFormat="1" ht="15" customHeight="1" x14ac:dyDescent="0.2">
      <c r="B54" s="295"/>
      <c r="C54" s="295"/>
      <c r="D54" s="295"/>
      <c r="E54" s="295"/>
      <c r="F54" s="295"/>
      <c r="G54" s="295"/>
      <c r="H54" s="295"/>
      <c r="I54" s="295"/>
      <c r="J54" s="110"/>
      <c r="K54" s="31"/>
      <c r="L54" s="31"/>
      <c r="M54" s="31"/>
      <c r="N54" s="31"/>
    </row>
    <row r="55" spans="1:14" s="33" customFormat="1" x14ac:dyDescent="0.2">
      <c r="B55" s="295"/>
      <c r="C55" s="295"/>
      <c r="D55" s="295"/>
      <c r="E55" s="295"/>
      <c r="F55" s="295"/>
      <c r="G55" s="295"/>
      <c r="H55" s="295"/>
      <c r="I55" s="295"/>
      <c r="J55" s="110"/>
      <c r="K55" s="31"/>
      <c r="L55" s="31"/>
      <c r="M55" s="31"/>
      <c r="N55" s="31"/>
    </row>
    <row r="56" spans="1:14" s="33" customFormat="1" x14ac:dyDescent="0.2">
      <c r="B56" s="296"/>
      <c r="C56" s="296"/>
      <c r="D56" s="296"/>
      <c r="E56" s="296"/>
      <c r="F56" s="296"/>
      <c r="G56" s="296"/>
      <c r="H56" s="296"/>
      <c r="I56" s="296"/>
      <c r="J56" s="110"/>
      <c r="K56" s="31"/>
      <c r="L56" s="31"/>
      <c r="M56" s="31"/>
      <c r="N56" s="31"/>
    </row>
    <row r="57" spans="1:14" s="33" customFormat="1" x14ac:dyDescent="0.2">
      <c r="B57" s="89"/>
      <c r="C57" s="89"/>
      <c r="D57" s="89"/>
      <c r="E57" s="89"/>
      <c r="F57" s="89"/>
      <c r="G57" s="89"/>
      <c r="H57" s="89"/>
      <c r="I57" s="89"/>
      <c r="J57" s="110"/>
      <c r="K57" s="31"/>
      <c r="L57" s="31"/>
      <c r="M57" s="31"/>
      <c r="N57" s="31"/>
    </row>
    <row r="58" spans="1:14" s="33" customFormat="1" x14ac:dyDescent="0.2">
      <c r="J58" s="31"/>
      <c r="K58" s="31"/>
      <c r="L58" s="31"/>
      <c r="M58" s="31"/>
      <c r="N58" s="31"/>
    </row>
    <row r="59" spans="1:14" s="33" customFormat="1" x14ac:dyDescent="0.2">
      <c r="B59" s="133" t="s">
        <v>87</v>
      </c>
      <c r="J59" s="31"/>
      <c r="K59" s="31"/>
      <c r="L59" s="31"/>
      <c r="M59" s="31"/>
      <c r="N59" s="31"/>
    </row>
    <row r="60" spans="1:14" s="33" customFormat="1" ht="15" customHeight="1" x14ac:dyDescent="0.2">
      <c r="A60" s="65"/>
      <c r="B60" s="297" t="s">
        <v>197</v>
      </c>
      <c r="C60" s="297"/>
      <c r="D60" s="297"/>
      <c r="E60" s="297"/>
      <c r="F60" s="297"/>
      <c r="G60" s="297"/>
      <c r="H60" s="297"/>
      <c r="I60" s="297"/>
      <c r="J60" s="31"/>
      <c r="K60" s="31"/>
      <c r="L60" s="31"/>
      <c r="M60" s="31"/>
      <c r="N60" s="31"/>
    </row>
    <row r="61" spans="1:14" s="33" customFormat="1" x14ac:dyDescent="0.2">
      <c r="A61" s="65"/>
      <c r="B61" s="297"/>
      <c r="C61" s="297"/>
      <c r="D61" s="297"/>
      <c r="E61" s="297"/>
      <c r="F61" s="297"/>
      <c r="G61" s="297"/>
      <c r="H61" s="297"/>
      <c r="I61" s="297"/>
      <c r="J61" s="31"/>
      <c r="K61" s="31"/>
      <c r="L61" s="31"/>
      <c r="M61" s="31"/>
      <c r="N61" s="31"/>
    </row>
    <row r="62" spans="1:14" s="33" customFormat="1" x14ac:dyDescent="0.2">
      <c r="A62" s="65"/>
      <c r="B62" s="297"/>
      <c r="C62" s="297"/>
      <c r="D62" s="297"/>
      <c r="E62" s="297"/>
      <c r="F62" s="297"/>
      <c r="G62" s="297"/>
      <c r="H62" s="297"/>
      <c r="I62" s="297"/>
      <c r="J62" s="31"/>
      <c r="K62" s="31"/>
      <c r="L62" s="31"/>
      <c r="M62" s="31"/>
      <c r="N62" s="31"/>
    </row>
    <row r="63" spans="1:14" s="33" customFormat="1" x14ac:dyDescent="0.2">
      <c r="A63" s="65"/>
      <c r="B63" s="297"/>
      <c r="C63" s="297"/>
      <c r="D63" s="297"/>
      <c r="E63" s="297"/>
      <c r="F63" s="297"/>
      <c r="G63" s="297"/>
      <c r="H63" s="297"/>
      <c r="I63" s="297"/>
      <c r="J63" s="31"/>
      <c r="K63" s="31"/>
      <c r="L63" s="31"/>
      <c r="M63" s="31"/>
      <c r="N63" s="31"/>
    </row>
    <row r="64" spans="1:14" s="33" customFormat="1" x14ac:dyDescent="0.2">
      <c r="A64" s="65"/>
      <c r="B64" s="297"/>
      <c r="C64" s="297"/>
      <c r="D64" s="297"/>
      <c r="E64" s="297"/>
      <c r="F64" s="297"/>
      <c r="G64" s="297"/>
      <c r="H64" s="297"/>
      <c r="I64" s="297"/>
      <c r="J64" s="31"/>
      <c r="K64" s="31"/>
      <c r="L64" s="31"/>
      <c r="M64" s="31"/>
      <c r="N64" s="31"/>
    </row>
    <row r="65" spans="1:14" s="33" customFormat="1" x14ac:dyDescent="0.2">
      <c r="A65" s="65"/>
      <c r="B65" s="297"/>
      <c r="C65" s="297"/>
      <c r="D65" s="297"/>
      <c r="E65" s="297"/>
      <c r="F65" s="297"/>
      <c r="G65" s="297"/>
      <c r="H65" s="297"/>
      <c r="I65" s="297"/>
      <c r="J65" s="31"/>
      <c r="K65" s="31"/>
      <c r="L65" s="31"/>
      <c r="M65" s="31"/>
      <c r="N65" s="31"/>
    </row>
    <row r="66" spans="1:14" s="33" customFormat="1" x14ac:dyDescent="0.2">
      <c r="A66" s="65"/>
      <c r="B66" s="297"/>
      <c r="C66" s="297"/>
      <c r="D66" s="297"/>
      <c r="E66" s="297"/>
      <c r="F66" s="297"/>
      <c r="G66" s="297"/>
      <c r="H66" s="297"/>
      <c r="I66" s="297"/>
      <c r="J66" s="31"/>
      <c r="K66" s="31"/>
      <c r="L66" s="31"/>
      <c r="M66" s="31"/>
      <c r="N66" s="31"/>
    </row>
    <row r="67" spans="1:14" s="33" customFormat="1" x14ac:dyDescent="0.2">
      <c r="A67" s="65"/>
      <c r="B67" s="297"/>
      <c r="C67" s="297"/>
      <c r="D67" s="297"/>
      <c r="E67" s="297"/>
      <c r="F67" s="297"/>
      <c r="G67" s="297"/>
      <c r="H67" s="297"/>
      <c r="I67" s="297"/>
      <c r="J67" s="31"/>
      <c r="K67" s="31"/>
      <c r="L67" s="31"/>
      <c r="M67" s="31"/>
      <c r="N67" s="31"/>
    </row>
    <row r="68" spans="1:14" s="33" customFormat="1" x14ac:dyDescent="0.2">
      <c r="A68" s="65"/>
      <c r="B68" s="297"/>
      <c r="C68" s="297"/>
      <c r="D68" s="297"/>
      <c r="E68" s="297"/>
      <c r="F68" s="297"/>
      <c r="G68" s="297"/>
      <c r="H68" s="297"/>
      <c r="I68" s="297"/>
      <c r="J68" s="31"/>
      <c r="K68" s="31"/>
      <c r="L68" s="31"/>
      <c r="M68" s="31"/>
      <c r="N68" s="31"/>
    </row>
    <row r="69" spans="1:14" s="33" customFormat="1" x14ac:dyDescent="0.2">
      <c r="A69" s="65"/>
      <c r="B69" s="297"/>
      <c r="C69" s="297"/>
      <c r="D69" s="297"/>
      <c r="E69" s="297"/>
      <c r="F69" s="297"/>
      <c r="G69" s="297"/>
      <c r="H69" s="297"/>
      <c r="I69" s="297"/>
      <c r="J69" s="31"/>
      <c r="K69" s="31"/>
      <c r="L69" s="31"/>
      <c r="M69" s="31"/>
      <c r="N69" s="31"/>
    </row>
    <row r="70" spans="1:14" s="33" customFormat="1" x14ac:dyDescent="0.2">
      <c r="A70" s="65"/>
      <c r="B70" s="297"/>
      <c r="C70" s="297"/>
      <c r="D70" s="297"/>
      <c r="E70" s="297"/>
      <c r="F70" s="297"/>
      <c r="G70" s="297"/>
      <c r="H70" s="297"/>
      <c r="I70" s="297"/>
      <c r="J70" s="31"/>
      <c r="K70" s="31"/>
      <c r="L70" s="31"/>
      <c r="M70" s="31"/>
      <c r="N70" s="31"/>
    </row>
    <row r="71" spans="1:14" s="33" customFormat="1" x14ac:dyDescent="0.2">
      <c r="A71" s="65"/>
      <c r="B71" s="297"/>
      <c r="C71" s="297"/>
      <c r="D71" s="297"/>
      <c r="E71" s="297"/>
      <c r="F71" s="297"/>
      <c r="G71" s="297"/>
      <c r="H71" s="297"/>
      <c r="I71" s="297"/>
      <c r="J71" s="31"/>
      <c r="K71" s="31"/>
      <c r="L71" s="31"/>
      <c r="M71" s="31"/>
      <c r="N71" s="31"/>
    </row>
    <row r="72" spans="1:14" s="33" customFormat="1" x14ac:dyDescent="0.2">
      <c r="A72" s="65"/>
      <c r="B72" s="297"/>
      <c r="C72" s="297"/>
      <c r="D72" s="297"/>
      <c r="E72" s="297"/>
      <c r="F72" s="297"/>
      <c r="G72" s="297"/>
      <c r="H72" s="297"/>
      <c r="I72" s="297"/>
      <c r="J72" s="31"/>
      <c r="K72" s="31"/>
      <c r="L72" s="31"/>
      <c r="M72" s="31"/>
      <c r="N72" s="31"/>
    </row>
    <row r="73" spans="1:14" s="33" customFormat="1" x14ac:dyDescent="0.2">
      <c r="A73" s="65"/>
      <c r="B73" s="297"/>
      <c r="C73" s="297"/>
      <c r="D73" s="297"/>
      <c r="E73" s="297"/>
      <c r="F73" s="297"/>
      <c r="G73" s="297"/>
      <c r="H73" s="297"/>
      <c r="I73" s="297"/>
      <c r="J73" s="31"/>
      <c r="K73" s="31"/>
      <c r="L73" s="31"/>
      <c r="M73" s="31"/>
      <c r="N73" s="31"/>
    </row>
    <row r="74" spans="1:14" s="33" customFormat="1" x14ac:dyDescent="0.2">
      <c r="A74" s="65"/>
      <c r="B74" s="297"/>
      <c r="C74" s="297"/>
      <c r="D74" s="297"/>
      <c r="E74" s="297"/>
      <c r="F74" s="297"/>
      <c r="G74" s="297"/>
      <c r="H74" s="297"/>
      <c r="I74" s="297"/>
      <c r="J74" s="31"/>
      <c r="K74" s="31"/>
      <c r="L74" s="31"/>
      <c r="M74" s="31"/>
      <c r="N74" s="31"/>
    </row>
    <row r="75" spans="1:14" s="33" customFormat="1" x14ac:dyDescent="0.2">
      <c r="A75" s="65"/>
      <c r="B75" s="297"/>
      <c r="C75" s="297"/>
      <c r="D75" s="297"/>
      <c r="E75" s="297"/>
      <c r="F75" s="297"/>
      <c r="G75" s="297"/>
      <c r="H75" s="297"/>
      <c r="I75" s="297"/>
      <c r="J75" s="31"/>
      <c r="K75" s="31"/>
      <c r="L75" s="31"/>
      <c r="M75" s="31"/>
      <c r="N75" s="31"/>
    </row>
    <row r="76" spans="1:14" s="33" customFormat="1" x14ac:dyDescent="0.2">
      <c r="A76" s="65"/>
    </row>
    <row r="77" spans="1:14" s="33" customFormat="1" x14ac:dyDescent="0.2">
      <c r="A77" s="65"/>
      <c r="B77" s="133" t="s">
        <v>88</v>
      </c>
    </row>
    <row r="78" spans="1:14" s="33" customFormat="1" ht="15" customHeight="1" x14ac:dyDescent="0.2">
      <c r="A78" s="65"/>
      <c r="B78" s="297" t="s">
        <v>83</v>
      </c>
      <c r="C78" s="297"/>
      <c r="D78" s="297"/>
      <c r="E78" s="297"/>
      <c r="F78" s="297"/>
      <c r="G78" s="297"/>
      <c r="H78" s="297"/>
      <c r="I78" s="297"/>
    </row>
    <row r="79" spans="1:14" s="33" customFormat="1" x14ac:dyDescent="0.2">
      <c r="A79" s="65"/>
      <c r="B79" s="297"/>
      <c r="C79" s="297"/>
      <c r="D79" s="297"/>
      <c r="E79" s="297"/>
      <c r="F79" s="297"/>
      <c r="G79" s="297"/>
      <c r="H79" s="297"/>
      <c r="I79" s="297"/>
    </row>
    <row r="80" spans="1:14" s="33" customFormat="1" x14ac:dyDescent="0.2">
      <c r="A80" s="65"/>
      <c r="B80" s="297"/>
      <c r="C80" s="297"/>
      <c r="D80" s="297"/>
      <c r="E80" s="297"/>
      <c r="F80" s="297"/>
      <c r="G80" s="297"/>
      <c r="H80" s="297"/>
      <c r="I80" s="297"/>
    </row>
    <row r="81" spans="1:9" s="33" customFormat="1" x14ac:dyDescent="0.2">
      <c r="A81" s="65"/>
      <c r="B81" s="297"/>
      <c r="C81" s="297"/>
      <c r="D81" s="297"/>
      <c r="E81" s="297"/>
      <c r="F81" s="297"/>
      <c r="G81" s="297"/>
      <c r="H81" s="297"/>
      <c r="I81" s="297"/>
    </row>
    <row r="82" spans="1:9" s="33" customFormat="1" x14ac:dyDescent="0.2">
      <c r="A82" s="65"/>
      <c r="B82" s="297"/>
      <c r="C82" s="297"/>
      <c r="D82" s="297"/>
      <c r="E82" s="297"/>
      <c r="F82" s="297"/>
      <c r="G82" s="297"/>
      <c r="H82" s="297"/>
      <c r="I82" s="297"/>
    </row>
    <row r="83" spans="1:9" s="33" customFormat="1" x14ac:dyDescent="0.2">
      <c r="A83" s="65"/>
      <c r="B83" s="297"/>
      <c r="C83" s="297"/>
      <c r="D83" s="297"/>
      <c r="E83" s="297"/>
      <c r="F83" s="297"/>
      <c r="G83" s="297"/>
      <c r="H83" s="297"/>
      <c r="I83" s="297"/>
    </row>
    <row r="84" spans="1:9" s="33" customFormat="1" x14ac:dyDescent="0.2">
      <c r="A84" s="65"/>
      <c r="B84" s="297"/>
      <c r="C84" s="297"/>
      <c r="D84" s="297"/>
      <c r="E84" s="297"/>
      <c r="F84" s="297"/>
      <c r="G84" s="297"/>
      <c r="H84" s="297"/>
      <c r="I84" s="297"/>
    </row>
    <row r="85" spans="1:9" s="33" customFormat="1" x14ac:dyDescent="0.2">
      <c r="A85" s="65"/>
      <c r="B85" s="297"/>
      <c r="C85" s="297"/>
      <c r="D85" s="297"/>
      <c r="E85" s="297"/>
      <c r="F85" s="297"/>
      <c r="G85" s="297"/>
      <c r="H85" s="297"/>
      <c r="I85" s="297"/>
    </row>
    <row r="86" spans="1:9" s="33" customFormat="1" x14ac:dyDescent="0.2">
      <c r="A86" s="65"/>
      <c r="B86" s="297"/>
      <c r="C86" s="297"/>
      <c r="D86" s="297"/>
      <c r="E86" s="297"/>
      <c r="F86" s="297"/>
      <c r="G86" s="297"/>
      <c r="H86" s="297"/>
      <c r="I86" s="297"/>
    </row>
    <row r="87" spans="1:9" s="33" customFormat="1" x14ac:dyDescent="0.2">
      <c r="A87" s="65"/>
      <c r="B87" s="297"/>
      <c r="C87" s="297"/>
      <c r="D87" s="297"/>
      <c r="E87" s="297"/>
      <c r="F87" s="297"/>
      <c r="G87" s="297"/>
      <c r="H87" s="297"/>
      <c r="I87" s="297"/>
    </row>
    <row r="88" spans="1:9" s="33" customFormat="1" x14ac:dyDescent="0.2">
      <c r="A88" s="65"/>
      <c r="B88" s="297"/>
      <c r="C88" s="297"/>
      <c r="D88" s="297"/>
      <c r="E88" s="297"/>
      <c r="F88" s="297"/>
      <c r="G88" s="297"/>
      <c r="H88" s="297"/>
      <c r="I88" s="297"/>
    </row>
    <row r="89" spans="1:9" s="33" customFormat="1" x14ac:dyDescent="0.2">
      <c r="A89" s="65"/>
      <c r="B89" s="297"/>
      <c r="C89" s="297"/>
      <c r="D89" s="297"/>
      <c r="E89" s="297"/>
      <c r="F89" s="297"/>
      <c r="G89" s="297"/>
      <c r="H89" s="297"/>
      <c r="I89" s="297"/>
    </row>
    <row r="90" spans="1:9" s="33" customFormat="1" x14ac:dyDescent="0.2">
      <c r="A90" s="65"/>
      <c r="B90" s="297"/>
      <c r="C90" s="297"/>
      <c r="D90" s="297"/>
      <c r="E90" s="297"/>
      <c r="F90" s="297"/>
      <c r="G90" s="297"/>
      <c r="H90" s="297"/>
      <c r="I90" s="297"/>
    </row>
    <row r="91" spans="1:9" s="33" customFormat="1" x14ac:dyDescent="0.2">
      <c r="A91" s="65"/>
      <c r="B91" s="297"/>
      <c r="C91" s="297"/>
      <c r="D91" s="297"/>
      <c r="E91" s="297"/>
      <c r="F91" s="297"/>
      <c r="G91" s="297"/>
      <c r="H91" s="297"/>
      <c r="I91" s="297"/>
    </row>
    <row r="92" spans="1:9" s="33" customFormat="1" x14ac:dyDescent="0.2">
      <c r="A92" s="65"/>
      <c r="B92" s="297"/>
      <c r="C92" s="297"/>
      <c r="D92" s="297"/>
      <c r="E92" s="297"/>
      <c r="F92" s="297"/>
      <c r="G92" s="297"/>
      <c r="H92" s="297"/>
      <c r="I92" s="297"/>
    </row>
    <row r="93" spans="1:9" s="33" customFormat="1" x14ac:dyDescent="0.2">
      <c r="A93" s="65"/>
      <c r="B93" s="297"/>
      <c r="C93" s="297"/>
      <c r="D93" s="297"/>
      <c r="E93" s="297"/>
      <c r="F93" s="297"/>
      <c r="G93" s="297"/>
      <c r="H93" s="297"/>
      <c r="I93" s="297"/>
    </row>
    <row r="94" spans="1:9" s="33" customFormat="1" x14ac:dyDescent="0.2">
      <c r="A94" s="65"/>
      <c r="B94" s="297"/>
      <c r="C94" s="297"/>
      <c r="D94" s="297"/>
      <c r="E94" s="297"/>
      <c r="F94" s="297"/>
      <c r="G94" s="297"/>
      <c r="H94" s="297"/>
      <c r="I94" s="297"/>
    </row>
    <row r="95" spans="1:9" s="33" customFormat="1" x14ac:dyDescent="0.2">
      <c r="A95" s="65"/>
      <c r="B95" s="297"/>
      <c r="C95" s="297"/>
      <c r="D95" s="297"/>
      <c r="E95" s="297"/>
      <c r="F95" s="297"/>
      <c r="G95" s="297"/>
      <c r="H95" s="297"/>
      <c r="I95" s="297"/>
    </row>
    <row r="96" spans="1:9" s="33" customFormat="1" x14ac:dyDescent="0.2"/>
    <row r="97" s="33" customFormat="1" x14ac:dyDescent="0.2"/>
    <row r="98" s="33" customFormat="1" x14ac:dyDescent="0.2"/>
    <row r="99" s="33" customFormat="1" x14ac:dyDescent="0.2"/>
    <row r="100" s="33" customFormat="1" x14ac:dyDescent="0.2"/>
    <row r="101" s="33" customFormat="1" x14ac:dyDescent="0.2"/>
  </sheetData>
  <sheetProtection password="C931" sheet="1" selectLockedCells="1"/>
  <mergeCells count="30">
    <mergeCell ref="B55:I55"/>
    <mergeCell ref="B56:I56"/>
    <mergeCell ref="B60:I75"/>
    <mergeCell ref="B78:I95"/>
    <mergeCell ref="B45:D45"/>
    <mergeCell ref="F45:K45"/>
    <mergeCell ref="B50:I50"/>
    <mergeCell ref="B51:I51"/>
    <mergeCell ref="B53:I53"/>
    <mergeCell ref="B54:I54"/>
    <mergeCell ref="B26:I34"/>
    <mergeCell ref="J27:K27"/>
    <mergeCell ref="J28:K28"/>
    <mergeCell ref="J29:K29"/>
    <mergeCell ref="J30:K30"/>
    <mergeCell ref="J31:K31"/>
    <mergeCell ref="J32:K32"/>
    <mergeCell ref="J33:K33"/>
    <mergeCell ref="J34:K34"/>
    <mergeCell ref="B22:C22"/>
    <mergeCell ref="C10:D10"/>
    <mergeCell ref="B19:C19"/>
    <mergeCell ref="B20:C20"/>
    <mergeCell ref="B21:C21"/>
    <mergeCell ref="C9:D9"/>
    <mergeCell ref="L1:L3"/>
    <mergeCell ref="I2:I3"/>
    <mergeCell ref="C6:D6"/>
    <mergeCell ref="C7:D7"/>
    <mergeCell ref="C8:D8"/>
  </mergeCells>
  <hyperlinks>
    <hyperlink ref="L4" location="Input!A1" display="Return to Input" xr:uid="{00000000-0004-0000-0300-000000000000}"/>
  </hyperlinks>
  <printOptions horizontalCentered="1" verticalCentered="1"/>
  <pageMargins left="0.39370078740157483" right="0.39370078740157483" top="0" bottom="0" header="0.31496062992125984" footer="0.31496062992125984"/>
  <pageSetup scale="71" orientation="portrait" verticalDpi="429496729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pageSetUpPr fitToPage="1"/>
  </sheetPr>
  <dimension ref="A1:AD118"/>
  <sheetViews>
    <sheetView topLeftCell="A13" zoomScale="145" zoomScaleNormal="145" zoomScalePageLayoutView="145" workbookViewId="0">
      <selection activeCell="C19" sqref="C19"/>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17.484375" style="22" hidden="1" customWidth="1"/>
    <col min="8" max="9" width="25.69140625" style="22" customWidth="1"/>
    <col min="10" max="10" width="9.28125" style="22" hidden="1" customWidth="1"/>
    <col min="11" max="11" width="0" style="22" hidden="1" customWidth="1"/>
    <col min="12" max="12" width="26.09765625" style="22" customWidth="1"/>
    <col min="13" max="13" width="15.19921875" style="33" bestFit="1" customWidth="1"/>
    <col min="14" max="14" width="11.43359375" style="33" bestFit="1" customWidth="1"/>
    <col min="15" max="16" width="8.875" style="33"/>
    <col min="17" max="18" width="8.875" style="65"/>
    <col min="19"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E1" s="33" t="s">
        <v>52</v>
      </c>
      <c r="F1" s="33"/>
      <c r="G1" s="33"/>
      <c r="H1" s="33">
        <v>650000</v>
      </c>
      <c r="L1" s="282"/>
    </row>
    <row r="2" spans="2:28" x14ac:dyDescent="0.2">
      <c r="C2" s="23" t="s">
        <v>53</v>
      </c>
      <c r="E2" s="33" t="s">
        <v>54</v>
      </c>
      <c r="F2" s="24"/>
      <c r="G2" s="24"/>
      <c r="H2" s="24">
        <v>200000</v>
      </c>
      <c r="I2" s="283" t="s">
        <v>55</v>
      </c>
      <c r="J2" s="25"/>
      <c r="L2" s="282"/>
      <c r="M2" s="33" t="s">
        <v>56</v>
      </c>
      <c r="N2" s="38">
        <f>150000</f>
        <v>150000</v>
      </c>
    </row>
    <row r="3" spans="2:28" x14ac:dyDescent="0.2">
      <c r="C3" s="23" t="str">
        <f>INPUT!D43</f>
        <v>Nob Hill</v>
      </c>
      <c r="F3" s="26"/>
      <c r="G3" s="26"/>
      <c r="H3" s="130"/>
      <c r="I3" s="283"/>
      <c r="J3" s="25"/>
      <c r="L3" s="282"/>
      <c r="M3" s="33" t="s">
        <v>57</v>
      </c>
      <c r="N3" s="38">
        <f>650000</f>
        <v>650000</v>
      </c>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row>
    <row r="8" spans="2:28" x14ac:dyDescent="0.2">
      <c r="B8" s="32" t="s">
        <v>8</v>
      </c>
      <c r="C8" s="288">
        <f>INPUT!D46</f>
        <v>597</v>
      </c>
      <c r="D8" s="289"/>
      <c r="J8" s="95"/>
      <c r="K8" s="95"/>
      <c r="L8" s="95"/>
    </row>
    <row r="9" spans="2:28" x14ac:dyDescent="0.2">
      <c r="B9" s="32" t="s">
        <v>61</v>
      </c>
      <c r="C9" s="280">
        <f>IF(OR(INPUT!$D$43="Sycamore Heights",INPUT!$D$43="Nob Hill",INPUT!$D$43="Cotswold"),INPUT!$D$47,"NOT APPLICABLE FOR THIS PROJECT")</f>
        <v>17314000</v>
      </c>
      <c r="D9" s="281"/>
      <c r="J9" s="95"/>
      <c r="K9" s="95"/>
      <c r="L9" s="31"/>
    </row>
    <row r="10" spans="2:28" x14ac:dyDescent="0.2">
      <c r="B10" s="278" t="s">
        <v>62</v>
      </c>
      <c r="C10" s="270" t="s">
        <v>89</v>
      </c>
      <c r="D10" s="271"/>
      <c r="J10" s="95"/>
      <c r="K10" s="95"/>
      <c r="L10" s="33"/>
      <c r="S10" s="33"/>
    </row>
    <row r="11" spans="2:28" ht="15.75" thickBot="1" x14ac:dyDescent="0.25">
      <c r="B11" s="279"/>
      <c r="C11" s="272" t="s">
        <v>255</v>
      </c>
      <c r="D11" s="273"/>
      <c r="J11" s="33"/>
      <c r="K11" s="33"/>
      <c r="L11" s="33"/>
      <c r="S11" s="33"/>
    </row>
    <row r="12" spans="2:28" x14ac:dyDescent="0.2">
      <c r="E12" s="33"/>
      <c r="F12" s="33"/>
      <c r="G12" s="33"/>
      <c r="H12" s="33"/>
      <c r="I12" s="33"/>
      <c r="J12" s="33"/>
      <c r="K12" s="33"/>
      <c r="L12" s="86" t="s">
        <v>63</v>
      </c>
      <c r="M12" s="87">
        <v>0.02</v>
      </c>
      <c r="S12" s="33"/>
    </row>
    <row r="13" spans="2:28" x14ac:dyDescent="0.2">
      <c r="B13" s="34" t="s">
        <v>64</v>
      </c>
      <c r="C13" s="34"/>
      <c r="E13" s="33"/>
      <c r="F13" s="33"/>
      <c r="G13" s="33"/>
      <c r="H13" s="33"/>
      <c r="I13" s="33"/>
      <c r="J13" s="33"/>
      <c r="K13" s="33"/>
      <c r="L13" s="33"/>
      <c r="M13" s="87">
        <v>0</v>
      </c>
      <c r="S13" s="33"/>
    </row>
    <row r="14" spans="2:28" x14ac:dyDescent="0.2">
      <c r="B14" s="35" t="s">
        <v>65</v>
      </c>
      <c r="C14" s="36"/>
      <c r="D14" s="37">
        <f>C9</f>
        <v>17314000</v>
      </c>
      <c r="E14" s="38">
        <f>C9</f>
        <v>17314000</v>
      </c>
      <c r="F14" s="39">
        <f t="shared" ref="F14:H15" si="0">D14-E14</f>
        <v>0</v>
      </c>
      <c r="G14" s="39">
        <f t="shared" si="0"/>
        <v>17314000</v>
      </c>
      <c r="H14" s="39">
        <f t="shared" si="0"/>
        <v>-17314000</v>
      </c>
      <c r="I14" s="33"/>
      <c r="J14" s="33"/>
      <c r="K14" s="95"/>
      <c r="L14" s="33"/>
      <c r="S14" s="33"/>
      <c r="T14" s="33"/>
      <c r="U14" s="33"/>
      <c r="V14" s="31"/>
      <c r="W14" s="31"/>
      <c r="X14" s="31"/>
      <c r="Y14" s="31"/>
      <c r="Z14" s="31"/>
      <c r="AA14" s="31"/>
      <c r="AB14" s="31"/>
    </row>
    <row r="15" spans="2:28" hidden="1" x14ac:dyDescent="0.2">
      <c r="B15" s="115"/>
      <c r="C15" s="41"/>
      <c r="D15" s="42"/>
      <c r="E15" s="43">
        <f>VLOOKUP([2]INPUT!$N$6,[2]Sheet1!$E$1:$K$65536,5,0)</f>
        <v>350000</v>
      </c>
      <c r="F15" s="39">
        <f t="shared" si="0"/>
        <v>-350000</v>
      </c>
      <c r="G15" s="39">
        <f t="shared" si="0"/>
        <v>700000</v>
      </c>
      <c r="H15" s="39">
        <f t="shared" si="0"/>
        <v>-1050000</v>
      </c>
      <c r="I15" s="33"/>
      <c r="J15" s="33"/>
      <c r="K15" s="95"/>
      <c r="L15" s="33"/>
      <c r="S15" s="33"/>
      <c r="T15" s="33"/>
      <c r="U15" s="33"/>
      <c r="V15" s="31"/>
      <c r="W15" s="31"/>
      <c r="X15" s="31"/>
      <c r="Y15" s="31"/>
      <c r="Z15" s="31"/>
      <c r="AA15" s="31"/>
      <c r="AB15" s="31"/>
    </row>
    <row r="16" spans="2:28" hidden="1" x14ac:dyDescent="0.2">
      <c r="B16" s="115"/>
      <c r="C16" s="41"/>
      <c r="D16" s="42"/>
      <c r="E16" s="43"/>
      <c r="F16" s="39"/>
      <c r="G16" s="39"/>
      <c r="H16" s="39"/>
      <c r="I16" s="33"/>
      <c r="J16" s="33"/>
      <c r="K16" s="95"/>
      <c r="L16" s="33"/>
      <c r="S16" s="33"/>
      <c r="T16" s="33"/>
      <c r="U16" s="33"/>
      <c r="V16" s="31"/>
      <c r="W16" s="31"/>
      <c r="X16" s="31"/>
      <c r="Y16" s="31"/>
      <c r="Z16" s="31"/>
      <c r="AA16" s="31"/>
      <c r="AB16" s="31"/>
    </row>
    <row r="17" spans="2:28" hidden="1" x14ac:dyDescent="0.2">
      <c r="B17" s="115"/>
      <c r="C17" s="69"/>
      <c r="D17" s="42"/>
      <c r="E17" s="38"/>
      <c r="F17" s="39"/>
      <c r="G17" s="39"/>
      <c r="H17" s="39"/>
      <c r="I17" s="33"/>
      <c r="J17" s="33"/>
      <c r="K17" s="95"/>
      <c r="L17" s="116"/>
      <c r="M17" s="117"/>
      <c r="S17" s="33"/>
      <c r="T17" s="33"/>
      <c r="U17" s="33"/>
      <c r="V17" s="31"/>
      <c r="W17" s="31"/>
      <c r="X17" s="31"/>
      <c r="Y17" s="31"/>
      <c r="Z17" s="31"/>
      <c r="AA17" s="31"/>
      <c r="AB17" s="31"/>
    </row>
    <row r="18" spans="2:28" hidden="1" x14ac:dyDescent="0.2">
      <c r="B18" s="115"/>
      <c r="C18" s="77"/>
      <c r="D18" s="112"/>
      <c r="E18" s="38"/>
      <c r="F18" s="39"/>
      <c r="G18" s="39"/>
      <c r="H18" s="39"/>
      <c r="I18" s="33"/>
      <c r="J18" s="33"/>
      <c r="K18" s="95"/>
      <c r="L18" s="33"/>
      <c r="M18" s="117"/>
      <c r="S18" s="33"/>
      <c r="T18" s="33"/>
      <c r="U18" s="33"/>
      <c r="V18" s="31"/>
      <c r="W18" s="31"/>
      <c r="X18" s="31"/>
      <c r="Y18" s="31"/>
      <c r="Z18" s="31"/>
      <c r="AA18" s="31"/>
      <c r="AB18" s="31"/>
    </row>
    <row r="19" spans="2:28" x14ac:dyDescent="0.2">
      <c r="B19" s="115" t="s">
        <v>67</v>
      </c>
      <c r="C19" s="69">
        <v>0.15</v>
      </c>
      <c r="D19" s="42">
        <f>IF(C19&gt;15%,"INVALID",(D14-D15-D17-D18-D16)*C19)</f>
        <v>2597100</v>
      </c>
      <c r="E19" s="38"/>
      <c r="F19" s="39"/>
      <c r="G19" s="39"/>
      <c r="H19" s="39"/>
      <c r="I19" s="33"/>
      <c r="J19" s="33"/>
      <c r="K19" s="95"/>
      <c r="L19" s="33"/>
      <c r="S19" s="33"/>
      <c r="T19" s="33"/>
      <c r="U19" s="33"/>
      <c r="V19" s="31"/>
      <c r="W19" s="31"/>
      <c r="X19" s="31"/>
      <c r="Y19" s="31"/>
      <c r="Z19" s="31"/>
      <c r="AA19" s="31"/>
      <c r="AB19" s="31"/>
    </row>
    <row r="20" spans="2:28" x14ac:dyDescent="0.2">
      <c r="B20" s="115">
        <f>IF(INPUT!$D$42="Repeat Buyer",Classic_Mem_Inst1!$L$13,Classic_Mem_Inst1!$L$14)</f>
        <v>0</v>
      </c>
      <c r="C20" s="97">
        <f>IF(B20=Classic_Mem_Inst1!$L$13,Classic_Mem_Inst1!$M$13,Classic_Mem_Inst1!$M$14)</f>
        <v>0</v>
      </c>
      <c r="D20" s="42">
        <f>(D14-D15-D17-D18-D19-D16)*C20</f>
        <v>0</v>
      </c>
      <c r="E20" s="44"/>
      <c r="F20" s="39"/>
      <c r="G20" s="39"/>
      <c r="H20" s="39"/>
      <c r="I20" s="33"/>
      <c r="J20" s="33"/>
      <c r="K20" s="95"/>
      <c r="L20" s="33"/>
      <c r="S20" s="33"/>
      <c r="T20" s="33"/>
      <c r="U20" s="33"/>
      <c r="V20" s="31"/>
      <c r="W20" s="31"/>
      <c r="X20" s="31"/>
      <c r="Y20" s="31"/>
      <c r="Z20" s="31"/>
      <c r="AA20" s="31"/>
      <c r="AB20" s="31"/>
    </row>
    <row r="21" spans="2:28" x14ac:dyDescent="0.2">
      <c r="B21" s="40" t="s">
        <v>68</v>
      </c>
      <c r="C21" s="97">
        <v>0.05</v>
      </c>
      <c r="D21" s="42">
        <f>((D14-D15-D17-D18-D19-D20-D16)/1.12)*C21</f>
        <v>657004.4642857142</v>
      </c>
      <c r="E21" s="44"/>
      <c r="F21" s="39"/>
      <c r="G21" s="39"/>
      <c r="H21" s="39"/>
      <c r="I21" s="33"/>
      <c r="J21" s="33"/>
      <c r="K21" s="95"/>
      <c r="L21" s="33"/>
      <c r="S21" s="33"/>
      <c r="T21" s="33"/>
      <c r="U21" s="33"/>
      <c r="V21" s="31"/>
      <c r="W21" s="31"/>
      <c r="X21" s="31"/>
      <c r="Y21" s="31"/>
      <c r="Z21" s="31"/>
      <c r="AA21" s="31"/>
      <c r="AB21" s="31"/>
    </row>
    <row r="22" spans="2:28" ht="15.75" thickBot="1" x14ac:dyDescent="0.25">
      <c r="B22" s="45" t="s">
        <v>69</v>
      </c>
      <c r="C22" s="46"/>
      <c r="D22" s="47">
        <f>(D14-D15-D17-D18-D19-D16-D20+D21)</f>
        <v>15373904.464285715</v>
      </c>
      <c r="E22" s="38"/>
      <c r="F22" s="39"/>
      <c r="G22" s="39"/>
      <c r="H22" s="39"/>
      <c r="I22" s="33"/>
      <c r="J22" s="33"/>
      <c r="K22" s="95"/>
      <c r="L22" s="33"/>
      <c r="S22" s="33"/>
      <c r="T22" s="33"/>
      <c r="U22" s="33"/>
      <c r="V22" s="31"/>
      <c r="W22" s="31"/>
      <c r="X22" s="31"/>
      <c r="Y22" s="31"/>
      <c r="Z22" s="31"/>
      <c r="AA22" s="31"/>
      <c r="AB22" s="31"/>
    </row>
    <row r="23" spans="2:28" ht="16.5" thickTop="1" thickBot="1" x14ac:dyDescent="0.25">
      <c r="J23" s="33"/>
      <c r="K23" s="33"/>
      <c r="L23" s="33"/>
      <c r="S23" s="33"/>
    </row>
    <row r="24" spans="2:28" ht="15.75" thickBot="1" x14ac:dyDescent="0.25">
      <c r="B24" s="291" t="s">
        <v>70</v>
      </c>
      <c r="C24" s="292"/>
      <c r="D24" s="48" t="s">
        <v>71</v>
      </c>
      <c r="E24" s="48" t="s">
        <v>72</v>
      </c>
      <c r="F24" s="78" t="s">
        <v>73</v>
      </c>
      <c r="G24" s="78" t="s">
        <v>74</v>
      </c>
      <c r="H24" s="78" t="s">
        <v>75</v>
      </c>
      <c r="I24" s="49" t="s">
        <v>76</v>
      </c>
      <c r="J24" s="33"/>
      <c r="K24" s="33"/>
      <c r="L24" s="33"/>
      <c r="S24" s="33"/>
    </row>
    <row r="25" spans="2:28" x14ac:dyDescent="0.2">
      <c r="B25" s="293">
        <v>0</v>
      </c>
      <c r="C25" s="294"/>
      <c r="D25" s="50">
        <f ca="1">INPUT!D48</f>
        <v>45360</v>
      </c>
      <c r="E25" s="181" t="s">
        <v>77</v>
      </c>
      <c r="F25" s="51">
        <v>50000</v>
      </c>
      <c r="G25" s="51"/>
      <c r="H25" s="51">
        <f>SUM(F25:G25)</f>
        <v>50000</v>
      </c>
      <c r="I25" s="52">
        <f>D22-H25</f>
        <v>15323904.464285715</v>
      </c>
      <c r="J25" s="53" t="s">
        <v>78</v>
      </c>
      <c r="K25" s="33"/>
      <c r="L25" s="38">
        <v>56000</v>
      </c>
      <c r="M25" s="39">
        <f>L25-F25</f>
        <v>6000</v>
      </c>
      <c r="S25" s="33"/>
    </row>
    <row r="26" spans="2:28" hidden="1" x14ac:dyDescent="0.2">
      <c r="B26" s="290"/>
      <c r="C26" s="265"/>
      <c r="D26" s="73"/>
      <c r="E26" s="74" t="s">
        <v>79</v>
      </c>
      <c r="F26" s="75"/>
      <c r="G26" s="75"/>
      <c r="H26" s="75">
        <v>0</v>
      </c>
      <c r="I26" s="76">
        <f>I25-H26</f>
        <v>15323904.464285715</v>
      </c>
      <c r="J26" s="53"/>
      <c r="K26" s="33"/>
      <c r="L26" s="38"/>
      <c r="M26" s="39"/>
      <c r="S26" s="33"/>
    </row>
    <row r="27" spans="2:28" x14ac:dyDescent="0.2">
      <c r="B27" s="290">
        <f>B26+1</f>
        <v>1</v>
      </c>
      <c r="C27" s="265"/>
      <c r="D27" s="70">
        <f ca="1">EDATE(D25,1)</f>
        <v>45391</v>
      </c>
      <c r="E27" s="180" t="s">
        <v>90</v>
      </c>
      <c r="F27" s="71">
        <f>ROUND((((D22-D21)*90%)-F25),2)</f>
        <v>13195210</v>
      </c>
      <c r="G27" s="71">
        <f>ROUND(((D21*90%)-G25),2)</f>
        <v>591304.02</v>
      </c>
      <c r="H27" s="71">
        <f>SUM(F27:G27)</f>
        <v>13786514.02</v>
      </c>
      <c r="I27" s="76">
        <f>I26-H27</f>
        <v>1537390.444285715</v>
      </c>
      <c r="J27" s="53"/>
      <c r="K27" s="33"/>
      <c r="L27" s="38"/>
      <c r="M27" s="39"/>
      <c r="S27" s="33"/>
    </row>
    <row r="28" spans="2:28" x14ac:dyDescent="0.2">
      <c r="B28" s="290">
        <f t="shared" ref="B28:B39" si="1">B27+1</f>
        <v>2</v>
      </c>
      <c r="C28" s="265"/>
      <c r="D28" s="70">
        <f ca="1">EDATE(D27,1)</f>
        <v>45421</v>
      </c>
      <c r="E28" s="180" t="s">
        <v>91</v>
      </c>
      <c r="F28" s="71">
        <v>0</v>
      </c>
      <c r="G28" s="71">
        <v>0</v>
      </c>
      <c r="H28" s="71">
        <f t="shared" ref="H28:H38" si="2">SUM(F28:G28)</f>
        <v>0</v>
      </c>
      <c r="I28" s="72">
        <f t="shared" ref="I28:I39" si="3">I27-H28</f>
        <v>1537390.444285715</v>
      </c>
      <c r="J28" s="96"/>
      <c r="K28" s="95"/>
      <c r="L28" s="38"/>
      <c r="M28" s="39"/>
      <c r="S28" s="33"/>
    </row>
    <row r="29" spans="2:28" x14ac:dyDescent="0.2">
      <c r="B29" s="290">
        <f t="shared" si="1"/>
        <v>3</v>
      </c>
      <c r="C29" s="265"/>
      <c r="D29" s="70">
        <f t="shared" ref="D29:D39" ca="1" si="4">EDATE(D28,1)</f>
        <v>45452</v>
      </c>
      <c r="E29" s="180" t="s">
        <v>92</v>
      </c>
      <c r="F29" s="71">
        <v>0</v>
      </c>
      <c r="G29" s="71">
        <v>0</v>
      </c>
      <c r="H29" s="71">
        <f t="shared" si="2"/>
        <v>0</v>
      </c>
      <c r="I29" s="72">
        <f t="shared" si="3"/>
        <v>1537390.444285715</v>
      </c>
      <c r="J29" s="96"/>
      <c r="K29" s="95"/>
      <c r="L29" s="38"/>
      <c r="M29" s="39"/>
      <c r="S29" s="33"/>
    </row>
    <row r="30" spans="2:28" x14ac:dyDescent="0.2">
      <c r="B30" s="290">
        <f t="shared" si="1"/>
        <v>4</v>
      </c>
      <c r="C30" s="265"/>
      <c r="D30" s="70">
        <f t="shared" ca="1" si="4"/>
        <v>45482</v>
      </c>
      <c r="E30" s="180" t="s">
        <v>93</v>
      </c>
      <c r="F30" s="71">
        <v>0</v>
      </c>
      <c r="G30" s="71">
        <v>0</v>
      </c>
      <c r="H30" s="71">
        <f t="shared" si="2"/>
        <v>0</v>
      </c>
      <c r="I30" s="72">
        <f t="shared" si="3"/>
        <v>1537390.444285715</v>
      </c>
      <c r="J30" s="96"/>
      <c r="K30" s="95"/>
      <c r="L30" s="38"/>
      <c r="M30" s="39"/>
      <c r="S30" s="33"/>
    </row>
    <row r="31" spans="2:28" x14ac:dyDescent="0.2">
      <c r="B31" s="290">
        <f t="shared" si="1"/>
        <v>5</v>
      </c>
      <c r="C31" s="265"/>
      <c r="D31" s="70">
        <f t="shared" ca="1" si="4"/>
        <v>45513</v>
      </c>
      <c r="E31" s="180" t="s">
        <v>94</v>
      </c>
      <c r="F31" s="71">
        <v>0</v>
      </c>
      <c r="G31" s="71">
        <v>0</v>
      </c>
      <c r="H31" s="71">
        <f t="shared" si="2"/>
        <v>0</v>
      </c>
      <c r="I31" s="72">
        <f t="shared" si="3"/>
        <v>1537390.444285715</v>
      </c>
      <c r="J31" s="53"/>
      <c r="K31" s="33"/>
      <c r="L31" s="38"/>
      <c r="M31" s="39"/>
    </row>
    <row r="32" spans="2:28" x14ac:dyDescent="0.2">
      <c r="B32" s="290">
        <f t="shared" si="1"/>
        <v>6</v>
      </c>
      <c r="C32" s="265"/>
      <c r="D32" s="70">
        <f t="shared" ca="1" si="4"/>
        <v>45544</v>
      </c>
      <c r="E32" s="180" t="s">
        <v>95</v>
      </c>
      <c r="F32" s="71">
        <v>0</v>
      </c>
      <c r="G32" s="71">
        <v>0</v>
      </c>
      <c r="H32" s="71">
        <f t="shared" si="2"/>
        <v>0</v>
      </c>
      <c r="I32" s="72">
        <f t="shared" si="3"/>
        <v>1537390.444285715</v>
      </c>
      <c r="J32" s="53"/>
      <c r="K32" s="33"/>
      <c r="L32" s="38"/>
      <c r="M32" s="39"/>
    </row>
    <row r="33" spans="2:14" x14ac:dyDescent="0.2">
      <c r="B33" s="290">
        <f t="shared" si="1"/>
        <v>7</v>
      </c>
      <c r="C33" s="265"/>
      <c r="D33" s="70">
        <f t="shared" ca="1" si="4"/>
        <v>45574</v>
      </c>
      <c r="E33" s="180" t="s">
        <v>96</v>
      </c>
      <c r="F33" s="71">
        <v>0</v>
      </c>
      <c r="G33" s="71">
        <v>0</v>
      </c>
      <c r="H33" s="71">
        <f t="shared" si="2"/>
        <v>0</v>
      </c>
      <c r="I33" s="72">
        <f t="shared" si="3"/>
        <v>1537390.444285715</v>
      </c>
      <c r="J33" s="53"/>
      <c r="K33" s="33"/>
      <c r="L33" s="38"/>
      <c r="M33" s="39"/>
    </row>
    <row r="34" spans="2:14" x14ac:dyDescent="0.2">
      <c r="B34" s="290">
        <f t="shared" si="1"/>
        <v>8</v>
      </c>
      <c r="C34" s="265"/>
      <c r="D34" s="70">
        <f t="shared" ca="1" si="4"/>
        <v>45605</v>
      </c>
      <c r="E34" s="180" t="s">
        <v>97</v>
      </c>
      <c r="F34" s="71">
        <v>0</v>
      </c>
      <c r="G34" s="71">
        <v>0</v>
      </c>
      <c r="H34" s="71">
        <f t="shared" si="2"/>
        <v>0</v>
      </c>
      <c r="I34" s="72">
        <f t="shared" si="3"/>
        <v>1537390.444285715</v>
      </c>
      <c r="J34" s="53"/>
      <c r="K34" s="33"/>
      <c r="L34" s="38"/>
      <c r="M34" s="39"/>
    </row>
    <row r="35" spans="2:14" x14ac:dyDescent="0.2">
      <c r="B35" s="290">
        <f t="shared" si="1"/>
        <v>9</v>
      </c>
      <c r="C35" s="265"/>
      <c r="D35" s="70">
        <f t="shared" ca="1" si="4"/>
        <v>45635</v>
      </c>
      <c r="E35" s="180" t="s">
        <v>98</v>
      </c>
      <c r="F35" s="71">
        <v>0</v>
      </c>
      <c r="G35" s="71">
        <v>0</v>
      </c>
      <c r="H35" s="71">
        <f t="shared" si="2"/>
        <v>0</v>
      </c>
      <c r="I35" s="72">
        <f t="shared" si="3"/>
        <v>1537390.444285715</v>
      </c>
      <c r="J35" s="53"/>
      <c r="K35" s="33"/>
      <c r="L35" s="38"/>
      <c r="M35" s="39"/>
    </row>
    <row r="36" spans="2:14" x14ac:dyDescent="0.2">
      <c r="B36" s="290">
        <f t="shared" si="1"/>
        <v>10</v>
      </c>
      <c r="C36" s="265"/>
      <c r="D36" s="70">
        <f t="shared" ca="1" si="4"/>
        <v>45666</v>
      </c>
      <c r="E36" s="180" t="s">
        <v>99</v>
      </c>
      <c r="F36" s="71">
        <v>0</v>
      </c>
      <c r="G36" s="71">
        <v>0</v>
      </c>
      <c r="H36" s="71">
        <f t="shared" si="2"/>
        <v>0</v>
      </c>
      <c r="I36" s="72">
        <f t="shared" si="3"/>
        <v>1537390.444285715</v>
      </c>
      <c r="J36" s="53"/>
      <c r="K36" s="33"/>
      <c r="L36" s="38"/>
      <c r="M36" s="39"/>
    </row>
    <row r="37" spans="2:14" x14ac:dyDescent="0.2">
      <c r="B37" s="290">
        <f t="shared" si="1"/>
        <v>11</v>
      </c>
      <c r="C37" s="265"/>
      <c r="D37" s="70">
        <f t="shared" ca="1" si="4"/>
        <v>45697</v>
      </c>
      <c r="E37" s="180" t="s">
        <v>100</v>
      </c>
      <c r="F37" s="71">
        <v>0</v>
      </c>
      <c r="G37" s="71">
        <v>0</v>
      </c>
      <c r="H37" s="71">
        <f t="shared" si="2"/>
        <v>0</v>
      </c>
      <c r="I37" s="72">
        <f t="shared" si="3"/>
        <v>1537390.444285715</v>
      </c>
      <c r="J37" s="53"/>
      <c r="K37" s="33"/>
      <c r="L37" s="38"/>
      <c r="M37" s="39"/>
    </row>
    <row r="38" spans="2:14" x14ac:dyDescent="0.2">
      <c r="B38" s="290">
        <f t="shared" si="1"/>
        <v>12</v>
      </c>
      <c r="C38" s="265"/>
      <c r="D38" s="70">
        <f t="shared" ca="1" si="4"/>
        <v>45725</v>
      </c>
      <c r="E38" s="180" t="s">
        <v>101</v>
      </c>
      <c r="F38" s="71">
        <v>0</v>
      </c>
      <c r="G38" s="71">
        <v>0</v>
      </c>
      <c r="H38" s="71">
        <f t="shared" si="2"/>
        <v>0</v>
      </c>
      <c r="I38" s="72">
        <f t="shared" si="3"/>
        <v>1537390.444285715</v>
      </c>
      <c r="J38" s="53"/>
      <c r="K38" s="33"/>
      <c r="L38" s="38"/>
      <c r="M38" s="39"/>
    </row>
    <row r="39" spans="2:14" ht="15.75" thickBot="1" x14ac:dyDescent="0.25">
      <c r="B39" s="298">
        <f t="shared" si="1"/>
        <v>13</v>
      </c>
      <c r="C39" s="299"/>
      <c r="D39" s="197">
        <f t="shared" ca="1" si="4"/>
        <v>45756</v>
      </c>
      <c r="E39" s="198" t="s">
        <v>102</v>
      </c>
      <c r="F39" s="199">
        <f>(D22-D21)-SUM(F25:F27)</f>
        <v>1471690</v>
      </c>
      <c r="G39" s="199">
        <f>D21-SUM(G25:G27)</f>
        <v>65700.444285714184</v>
      </c>
      <c r="H39" s="199">
        <f>SUM(F39:G39)</f>
        <v>1537390.4442857141</v>
      </c>
      <c r="I39" s="200">
        <f t="shared" si="3"/>
        <v>0</v>
      </c>
      <c r="J39" s="53"/>
      <c r="K39" s="33"/>
      <c r="L39" s="38"/>
      <c r="M39" s="39"/>
    </row>
    <row r="40" spans="2:14" ht="15.75" thickBot="1" x14ac:dyDescent="0.25">
      <c r="B40" s="80"/>
      <c r="C40" s="81"/>
      <c r="D40" s="82"/>
      <c r="E40" s="83" t="s">
        <v>81</v>
      </c>
      <c r="F40" s="84">
        <f>SUM(F25:F39)</f>
        <v>14716900</v>
      </c>
      <c r="G40" s="84">
        <f>SUM(G25:G39)</f>
        <v>657004.4642857142</v>
      </c>
      <c r="H40" s="84">
        <f>SUM(H25:H39)</f>
        <v>15373904.464285713</v>
      </c>
      <c r="I40" s="85"/>
      <c r="J40" s="33"/>
      <c r="K40" s="33"/>
      <c r="L40" s="38">
        <f>SUM(L25:L39)</f>
        <v>56000</v>
      </c>
      <c r="M40" s="39">
        <f>L40-F40</f>
        <v>-14660900</v>
      </c>
    </row>
    <row r="41" spans="2:14" x14ac:dyDescent="0.2">
      <c r="D41" s="60"/>
      <c r="L41" s="61"/>
    </row>
    <row r="42" spans="2:14" x14ac:dyDescent="0.2">
      <c r="B42" s="62" t="s">
        <v>82</v>
      </c>
      <c r="C42" s="62"/>
      <c r="D42" s="60"/>
      <c r="N42" s="38"/>
    </row>
    <row r="43" spans="2:14" ht="8.25" customHeight="1" x14ac:dyDescent="0.2">
      <c r="B43" s="261" t="s">
        <v>266</v>
      </c>
      <c r="C43" s="261"/>
      <c r="D43" s="261"/>
      <c r="E43" s="261"/>
      <c r="F43" s="261"/>
      <c r="G43" s="261"/>
      <c r="H43" s="261"/>
      <c r="I43" s="261"/>
      <c r="J43" s="111"/>
      <c r="K43" s="111"/>
    </row>
    <row r="44" spans="2:14" ht="15" customHeight="1" x14ac:dyDescent="0.2">
      <c r="B44" s="261"/>
      <c r="C44" s="261"/>
      <c r="D44" s="261"/>
      <c r="E44" s="261"/>
      <c r="F44" s="261"/>
      <c r="G44" s="261"/>
      <c r="H44" s="261"/>
      <c r="I44" s="261"/>
      <c r="J44" s="260"/>
      <c r="K44" s="260"/>
    </row>
    <row r="45" spans="2:14" ht="15" customHeight="1" x14ac:dyDescent="0.2">
      <c r="B45" s="261"/>
      <c r="C45" s="261"/>
      <c r="D45" s="261"/>
      <c r="E45" s="261"/>
      <c r="F45" s="261"/>
      <c r="G45" s="261"/>
      <c r="H45" s="261"/>
      <c r="I45" s="261"/>
      <c r="J45" s="260"/>
      <c r="K45" s="260"/>
    </row>
    <row r="46" spans="2:14" x14ac:dyDescent="0.2">
      <c r="B46" s="261"/>
      <c r="C46" s="261"/>
      <c r="D46" s="261"/>
      <c r="E46" s="261"/>
      <c r="F46" s="261"/>
      <c r="G46" s="261"/>
      <c r="H46" s="261"/>
      <c r="I46" s="261"/>
      <c r="J46" s="260"/>
      <c r="K46" s="260"/>
    </row>
    <row r="47" spans="2:14" ht="58.5" customHeight="1" x14ac:dyDescent="0.2">
      <c r="B47" s="261"/>
      <c r="C47" s="261"/>
      <c r="D47" s="261"/>
      <c r="E47" s="261"/>
      <c r="F47" s="261"/>
      <c r="G47" s="261"/>
      <c r="H47" s="261"/>
      <c r="I47" s="261"/>
      <c r="J47" s="260"/>
      <c r="K47" s="260"/>
    </row>
    <row r="48" spans="2:14" ht="6.75" hidden="1" customHeight="1" x14ac:dyDescent="0.2">
      <c r="B48" s="261"/>
      <c r="C48" s="261"/>
      <c r="D48" s="261"/>
      <c r="E48" s="261"/>
      <c r="F48" s="261"/>
      <c r="G48" s="261"/>
      <c r="H48" s="261"/>
      <c r="I48" s="261"/>
      <c r="J48" s="260"/>
      <c r="K48" s="260"/>
    </row>
    <row r="49" spans="1:30" ht="49.5" customHeight="1" x14ac:dyDescent="0.2">
      <c r="B49" s="261"/>
      <c r="C49" s="261"/>
      <c r="D49" s="261"/>
      <c r="E49" s="261"/>
      <c r="F49" s="261"/>
      <c r="G49" s="261"/>
      <c r="H49" s="261"/>
      <c r="I49" s="261"/>
      <c r="J49" s="260"/>
      <c r="K49" s="260"/>
    </row>
    <row r="50" spans="1:30" ht="7.5" hidden="1" customHeight="1" x14ac:dyDescent="0.2">
      <c r="B50" s="261"/>
      <c r="C50" s="261"/>
      <c r="D50" s="261"/>
      <c r="E50" s="261"/>
      <c r="F50" s="261"/>
      <c r="G50" s="261"/>
      <c r="H50" s="261"/>
      <c r="I50" s="261"/>
      <c r="J50" s="260"/>
      <c r="K50" s="260"/>
    </row>
    <row r="51" spans="1:30" ht="69.75" customHeight="1" x14ac:dyDescent="0.2">
      <c r="B51" s="261"/>
      <c r="C51" s="261"/>
      <c r="D51" s="261"/>
      <c r="E51" s="261"/>
      <c r="F51" s="261"/>
      <c r="G51" s="261"/>
      <c r="H51" s="261"/>
      <c r="I51" s="261"/>
      <c r="J51" s="260"/>
      <c r="K51" s="260"/>
    </row>
    <row r="52" spans="1:30" hidden="1" x14ac:dyDescent="0.2">
      <c r="B52" s="63"/>
      <c r="C52" s="63"/>
    </row>
    <row r="53" spans="1:30" hidden="1" x14ac:dyDescent="0.2">
      <c r="B53" s="64"/>
      <c r="C53" s="64"/>
    </row>
    <row r="54" spans="1:30" hidden="1" x14ac:dyDescent="0.2">
      <c r="B54" s="64"/>
      <c r="C54" s="64"/>
    </row>
    <row r="55" spans="1:30" hidden="1" x14ac:dyDescent="0.2">
      <c r="B55" s="64"/>
      <c r="C55" s="64"/>
    </row>
    <row r="56" spans="1:30" hidden="1" x14ac:dyDescent="0.2">
      <c r="B56" s="64"/>
      <c r="C56" s="64"/>
    </row>
    <row r="57" spans="1:30" s="65" customFormat="1" hidden="1" x14ac:dyDescent="0.2">
      <c r="A57" s="22"/>
      <c r="B57" s="64"/>
      <c r="C57" s="64"/>
      <c r="M57" s="33"/>
      <c r="N57" s="33"/>
      <c r="O57" s="33"/>
      <c r="P57" s="33"/>
    </row>
    <row r="58" spans="1:30" ht="24" customHeight="1" x14ac:dyDescent="0.2"/>
    <row r="59" spans="1:30" x14ac:dyDescent="0.2">
      <c r="B59" s="66" t="s">
        <v>84</v>
      </c>
      <c r="C59" s="66"/>
    </row>
    <row r="62" spans="1:30" x14ac:dyDescent="0.2">
      <c r="B62" s="259" t="s">
        <v>85</v>
      </c>
      <c r="C62" s="259"/>
      <c r="D62" s="259"/>
      <c r="F62" s="259" t="s">
        <v>86</v>
      </c>
      <c r="G62" s="259"/>
      <c r="H62" s="259"/>
      <c r="I62" s="259"/>
      <c r="J62" s="259"/>
      <c r="K62" s="259"/>
    </row>
    <row r="64" spans="1:30" x14ac:dyDescent="0.2">
      <c r="B64" s="67"/>
      <c r="C64" s="67"/>
      <c r="D64" s="67"/>
      <c r="E64" s="67"/>
      <c r="F64" s="67"/>
      <c r="G64" s="67"/>
      <c r="H64" s="67"/>
      <c r="I64" s="67"/>
      <c r="J64" s="67"/>
      <c r="K64" s="67"/>
      <c r="L64" s="33"/>
      <c r="S64" s="33"/>
      <c r="T64" s="33"/>
      <c r="U64" s="33"/>
      <c r="V64" s="31"/>
      <c r="W64" s="31"/>
      <c r="X64" s="31"/>
      <c r="Y64" s="31"/>
      <c r="Z64" s="31"/>
      <c r="AA64" s="31"/>
      <c r="AB64" s="31"/>
      <c r="AC64" s="31"/>
      <c r="AD64" s="31"/>
    </row>
    <row r="65" spans="1:30" x14ac:dyDescent="0.2">
      <c r="B65" s="65"/>
      <c r="C65" s="65"/>
      <c r="D65" s="65"/>
      <c r="E65" s="65"/>
      <c r="F65" s="65"/>
      <c r="G65" s="65"/>
      <c r="H65" s="65"/>
      <c r="I65" s="65"/>
      <c r="J65" s="67"/>
      <c r="K65" s="67"/>
      <c r="L65" s="33"/>
      <c r="S65" s="33"/>
      <c r="T65" s="33"/>
      <c r="U65" s="33"/>
      <c r="V65" s="31"/>
      <c r="W65" s="31"/>
      <c r="X65" s="31"/>
      <c r="Y65" s="31"/>
      <c r="Z65" s="31"/>
      <c r="AA65" s="31"/>
      <c r="AB65" s="31"/>
      <c r="AC65" s="31"/>
      <c r="AD65" s="31"/>
    </row>
    <row r="66" spans="1:30" x14ac:dyDescent="0.2">
      <c r="B66" s="65"/>
      <c r="C66" s="65"/>
      <c r="D66" s="65"/>
      <c r="E66" s="65"/>
      <c r="F66" s="65"/>
      <c r="G66" s="65"/>
      <c r="H66" s="65"/>
      <c r="I66" s="65"/>
    </row>
    <row r="67" spans="1:30" ht="36.75" customHeight="1" x14ac:dyDescent="0.2">
      <c r="A67" s="65"/>
      <c r="B67" s="300"/>
      <c r="C67" s="300"/>
      <c r="D67" s="300"/>
      <c r="E67" s="300"/>
      <c r="F67" s="300"/>
      <c r="G67" s="300"/>
      <c r="H67" s="300"/>
      <c r="I67" s="300"/>
      <c r="J67" s="68"/>
    </row>
    <row r="68" spans="1:30" x14ac:dyDescent="0.2">
      <c r="A68" s="65"/>
      <c r="B68" s="300"/>
      <c r="C68" s="300"/>
      <c r="D68" s="300"/>
      <c r="E68" s="300"/>
      <c r="F68" s="300"/>
      <c r="G68" s="300"/>
      <c r="H68" s="300"/>
      <c r="I68" s="300"/>
    </row>
    <row r="69" spans="1:30" x14ac:dyDescent="0.2">
      <c r="A69" s="65"/>
      <c r="B69" s="136"/>
      <c r="C69" s="136"/>
      <c r="D69" s="136"/>
      <c r="E69" s="136"/>
      <c r="F69" s="136"/>
      <c r="G69" s="136"/>
      <c r="H69" s="136"/>
      <c r="I69" s="136"/>
    </row>
    <row r="70" spans="1:30" ht="36.75" customHeight="1" x14ac:dyDescent="0.2">
      <c r="A70" s="65"/>
      <c r="B70" s="300"/>
      <c r="C70" s="300"/>
      <c r="D70" s="300"/>
      <c r="E70" s="300"/>
      <c r="F70" s="300"/>
      <c r="G70" s="300"/>
      <c r="H70" s="300"/>
      <c r="I70" s="300"/>
      <c r="J70" s="68"/>
    </row>
    <row r="71" spans="1:30" s="33" customFormat="1" ht="15" customHeight="1" x14ac:dyDescent="0.2">
      <c r="B71" s="296"/>
      <c r="C71" s="296"/>
      <c r="D71" s="296"/>
      <c r="E71" s="296"/>
      <c r="F71" s="296"/>
      <c r="G71" s="296"/>
      <c r="H71" s="296"/>
      <c r="I71" s="296"/>
      <c r="J71" s="89"/>
    </row>
    <row r="72" spans="1:30" s="33" customFormat="1" x14ac:dyDescent="0.2">
      <c r="B72" s="296" t="s">
        <v>115</v>
      </c>
      <c r="C72" s="296"/>
      <c r="D72" s="296"/>
      <c r="E72" s="296"/>
      <c r="F72" s="296"/>
      <c r="G72" s="296"/>
      <c r="H72" s="296"/>
      <c r="I72" s="296"/>
      <c r="J72" s="89"/>
    </row>
    <row r="73" spans="1:30" s="33" customFormat="1" x14ac:dyDescent="0.2">
      <c r="B73" s="296" t="s">
        <v>116</v>
      </c>
      <c r="C73" s="296"/>
      <c r="D73" s="296"/>
      <c r="E73" s="296"/>
      <c r="F73" s="296"/>
      <c r="G73" s="296"/>
      <c r="H73" s="296"/>
      <c r="I73" s="296"/>
      <c r="J73" s="89"/>
    </row>
    <row r="74" spans="1:30" s="33" customFormat="1" x14ac:dyDescent="0.2">
      <c r="B74" s="89"/>
      <c r="C74" s="89"/>
      <c r="D74" s="89"/>
      <c r="E74" s="89"/>
      <c r="F74" s="89"/>
      <c r="G74" s="89"/>
      <c r="H74" s="89"/>
      <c r="I74" s="89"/>
      <c r="J74" s="89"/>
    </row>
    <row r="75" spans="1:30" s="33" customFormat="1" x14ac:dyDescent="0.2"/>
    <row r="76" spans="1:30" s="33" customFormat="1" x14ac:dyDescent="0.2">
      <c r="B76" s="133" t="s">
        <v>87</v>
      </c>
    </row>
    <row r="77" spans="1:30" s="33" customFormat="1" ht="15" customHeight="1" x14ac:dyDescent="0.2">
      <c r="B77" s="297" t="s">
        <v>258</v>
      </c>
      <c r="C77" s="297"/>
      <c r="D77" s="297"/>
      <c r="E77" s="297"/>
      <c r="F77" s="297"/>
      <c r="G77" s="297"/>
      <c r="H77" s="297"/>
      <c r="I77" s="297"/>
    </row>
    <row r="78" spans="1:30" s="33" customFormat="1" x14ac:dyDescent="0.2">
      <c r="B78" s="297"/>
      <c r="C78" s="297"/>
      <c r="D78" s="297"/>
      <c r="E78" s="297"/>
      <c r="F78" s="297"/>
      <c r="G78" s="297"/>
      <c r="H78" s="297"/>
      <c r="I78" s="297"/>
    </row>
    <row r="79" spans="1:30" s="33" customFormat="1" x14ac:dyDescent="0.2">
      <c r="B79" s="297"/>
      <c r="C79" s="297"/>
      <c r="D79" s="297"/>
      <c r="E79" s="297"/>
      <c r="F79" s="297"/>
      <c r="G79" s="297"/>
      <c r="H79" s="297"/>
      <c r="I79" s="297"/>
    </row>
    <row r="80" spans="1:30" s="33" customFormat="1" x14ac:dyDescent="0.2">
      <c r="B80" s="297"/>
      <c r="C80" s="297"/>
      <c r="D80" s="297"/>
      <c r="E80" s="297"/>
      <c r="F80" s="297"/>
      <c r="G80" s="297"/>
      <c r="H80" s="297"/>
      <c r="I80" s="297"/>
    </row>
    <row r="81" spans="2:9" s="33" customFormat="1" x14ac:dyDescent="0.2">
      <c r="B81" s="297"/>
      <c r="C81" s="297"/>
      <c r="D81" s="297"/>
      <c r="E81" s="297"/>
      <c r="F81" s="297"/>
      <c r="G81" s="297"/>
      <c r="H81" s="297"/>
      <c r="I81" s="297"/>
    </row>
    <row r="82" spans="2:9" s="33" customFormat="1" x14ac:dyDescent="0.2">
      <c r="B82" s="297"/>
      <c r="C82" s="297"/>
      <c r="D82" s="297"/>
      <c r="E82" s="297"/>
      <c r="F82" s="297"/>
      <c r="G82" s="297"/>
      <c r="H82" s="297"/>
      <c r="I82" s="297"/>
    </row>
    <row r="83" spans="2:9" s="33" customFormat="1" x14ac:dyDescent="0.2">
      <c r="B83" s="297"/>
      <c r="C83" s="297"/>
      <c r="D83" s="297"/>
      <c r="E83" s="297"/>
      <c r="F83" s="297"/>
      <c r="G83" s="297"/>
      <c r="H83" s="297"/>
      <c r="I83" s="297"/>
    </row>
    <row r="84" spans="2:9" s="33" customFormat="1" x14ac:dyDescent="0.2">
      <c r="B84" s="297"/>
      <c r="C84" s="297"/>
      <c r="D84" s="297"/>
      <c r="E84" s="297"/>
      <c r="F84" s="297"/>
      <c r="G84" s="297"/>
      <c r="H84" s="297"/>
      <c r="I84" s="297"/>
    </row>
    <row r="85" spans="2:9" s="33" customFormat="1" x14ac:dyDescent="0.2">
      <c r="B85" s="297"/>
      <c r="C85" s="297"/>
      <c r="D85" s="297"/>
      <c r="E85" s="297"/>
      <c r="F85" s="297"/>
      <c r="G85" s="297"/>
      <c r="H85" s="297"/>
      <c r="I85" s="297"/>
    </row>
    <row r="86" spans="2:9" s="33" customFormat="1" x14ac:dyDescent="0.2">
      <c r="B86" s="297"/>
      <c r="C86" s="297"/>
      <c r="D86" s="297"/>
      <c r="E86" s="297"/>
      <c r="F86" s="297"/>
      <c r="G86" s="297"/>
      <c r="H86" s="297"/>
      <c r="I86" s="297"/>
    </row>
    <row r="87" spans="2:9" s="33" customFormat="1" x14ac:dyDescent="0.2">
      <c r="B87" s="297"/>
      <c r="C87" s="297"/>
      <c r="D87" s="297"/>
      <c r="E87" s="297"/>
      <c r="F87" s="297"/>
      <c r="G87" s="297"/>
      <c r="H87" s="297"/>
      <c r="I87" s="297"/>
    </row>
    <row r="88" spans="2:9" s="33" customFormat="1" x14ac:dyDescent="0.2">
      <c r="B88" s="297"/>
      <c r="C88" s="297"/>
      <c r="D88" s="297"/>
      <c r="E88" s="297"/>
      <c r="F88" s="297"/>
      <c r="G88" s="297"/>
      <c r="H88" s="297"/>
      <c r="I88" s="297"/>
    </row>
    <row r="89" spans="2:9" s="33" customFormat="1" x14ac:dyDescent="0.2">
      <c r="B89" s="297"/>
      <c r="C89" s="297"/>
      <c r="D89" s="297"/>
      <c r="E89" s="297"/>
      <c r="F89" s="297"/>
      <c r="G89" s="297"/>
      <c r="H89" s="297"/>
      <c r="I89" s="297"/>
    </row>
    <row r="90" spans="2:9" s="33" customFormat="1" x14ac:dyDescent="0.2">
      <c r="B90" s="297"/>
      <c r="C90" s="297"/>
      <c r="D90" s="297"/>
      <c r="E90" s="297"/>
      <c r="F90" s="297"/>
      <c r="G90" s="297"/>
      <c r="H90" s="297"/>
      <c r="I90" s="297"/>
    </row>
    <row r="91" spans="2:9" s="33" customFormat="1" x14ac:dyDescent="0.2">
      <c r="B91" s="297"/>
      <c r="C91" s="297"/>
      <c r="D91" s="297"/>
      <c r="E91" s="297"/>
      <c r="F91" s="297"/>
      <c r="G91" s="297"/>
      <c r="H91" s="297"/>
      <c r="I91" s="297"/>
    </row>
    <row r="92" spans="2:9" s="33" customFormat="1" x14ac:dyDescent="0.2">
      <c r="B92" s="297"/>
      <c r="C92" s="297"/>
      <c r="D92" s="297"/>
      <c r="E92" s="297"/>
      <c r="F92" s="297"/>
      <c r="G92" s="297"/>
      <c r="H92" s="297"/>
      <c r="I92" s="297"/>
    </row>
    <row r="93" spans="2:9" s="33" customFormat="1" x14ac:dyDescent="0.2"/>
    <row r="94" spans="2:9" s="33" customFormat="1" x14ac:dyDescent="0.2">
      <c r="B94" s="133" t="s">
        <v>88</v>
      </c>
    </row>
    <row r="95" spans="2:9" s="33" customFormat="1" ht="15" customHeight="1" x14ac:dyDescent="0.2">
      <c r="B95" s="297" t="s">
        <v>83</v>
      </c>
      <c r="C95" s="297"/>
      <c r="D95" s="297"/>
      <c r="E95" s="297"/>
      <c r="F95" s="297"/>
      <c r="G95" s="297"/>
      <c r="H95" s="297"/>
      <c r="I95" s="297"/>
    </row>
    <row r="96" spans="2:9" s="33" customFormat="1" x14ac:dyDescent="0.2">
      <c r="B96" s="297"/>
      <c r="C96" s="297"/>
      <c r="D96" s="297"/>
      <c r="E96" s="297"/>
      <c r="F96" s="297"/>
      <c r="G96" s="297"/>
      <c r="H96" s="297"/>
      <c r="I96" s="297"/>
    </row>
    <row r="97" spans="2:9" s="33" customFormat="1" x14ac:dyDescent="0.2">
      <c r="B97" s="297"/>
      <c r="C97" s="297"/>
      <c r="D97" s="297"/>
      <c r="E97" s="297"/>
      <c r="F97" s="297"/>
      <c r="G97" s="297"/>
      <c r="H97" s="297"/>
      <c r="I97" s="297"/>
    </row>
    <row r="98" spans="2:9" s="33" customFormat="1" x14ac:dyDescent="0.2">
      <c r="B98" s="297"/>
      <c r="C98" s="297"/>
      <c r="D98" s="297"/>
      <c r="E98" s="297"/>
      <c r="F98" s="297"/>
      <c r="G98" s="297"/>
      <c r="H98" s="297"/>
      <c r="I98" s="297"/>
    </row>
    <row r="99" spans="2:9" s="33" customFormat="1" x14ac:dyDescent="0.2">
      <c r="B99" s="297"/>
      <c r="C99" s="297"/>
      <c r="D99" s="297"/>
      <c r="E99" s="297"/>
      <c r="F99" s="297"/>
      <c r="G99" s="297"/>
      <c r="H99" s="297"/>
      <c r="I99" s="297"/>
    </row>
    <row r="100" spans="2:9" s="33" customFormat="1" x14ac:dyDescent="0.2">
      <c r="B100" s="297"/>
      <c r="C100" s="297"/>
      <c r="D100" s="297"/>
      <c r="E100" s="297"/>
      <c r="F100" s="297"/>
      <c r="G100" s="297"/>
      <c r="H100" s="297"/>
      <c r="I100" s="297"/>
    </row>
    <row r="101" spans="2:9" s="33" customFormat="1" x14ac:dyDescent="0.2">
      <c r="B101" s="297"/>
      <c r="C101" s="297"/>
      <c r="D101" s="297"/>
      <c r="E101" s="297"/>
      <c r="F101" s="297"/>
      <c r="G101" s="297"/>
      <c r="H101" s="297"/>
      <c r="I101" s="297"/>
    </row>
    <row r="102" spans="2:9" s="33" customFormat="1" x14ac:dyDescent="0.2">
      <c r="B102" s="297"/>
      <c r="C102" s="297"/>
      <c r="D102" s="297"/>
      <c r="E102" s="297"/>
      <c r="F102" s="297"/>
      <c r="G102" s="297"/>
      <c r="H102" s="297"/>
      <c r="I102" s="297"/>
    </row>
    <row r="103" spans="2:9" s="33" customFormat="1" x14ac:dyDescent="0.2">
      <c r="B103" s="297"/>
      <c r="C103" s="297"/>
      <c r="D103" s="297"/>
      <c r="E103" s="297"/>
      <c r="F103" s="297"/>
      <c r="G103" s="297"/>
      <c r="H103" s="297"/>
      <c r="I103" s="297"/>
    </row>
    <row r="104" spans="2:9" s="33" customFormat="1" x14ac:dyDescent="0.2">
      <c r="B104" s="297"/>
      <c r="C104" s="297"/>
      <c r="D104" s="297"/>
      <c r="E104" s="297"/>
      <c r="F104" s="297"/>
      <c r="G104" s="297"/>
      <c r="H104" s="297"/>
      <c r="I104" s="297"/>
    </row>
    <row r="105" spans="2:9" s="33" customFormat="1" x14ac:dyDescent="0.2">
      <c r="B105" s="297"/>
      <c r="C105" s="297"/>
      <c r="D105" s="297"/>
      <c r="E105" s="297"/>
      <c r="F105" s="297"/>
      <c r="G105" s="297"/>
      <c r="H105" s="297"/>
      <c r="I105" s="297"/>
    </row>
    <row r="106" spans="2:9" s="33" customFormat="1" x14ac:dyDescent="0.2">
      <c r="B106" s="297"/>
      <c r="C106" s="297"/>
      <c r="D106" s="297"/>
      <c r="E106" s="297"/>
      <c r="F106" s="297"/>
      <c r="G106" s="297"/>
      <c r="H106" s="297"/>
      <c r="I106" s="297"/>
    </row>
    <row r="107" spans="2:9" s="33" customFormat="1" x14ac:dyDescent="0.2">
      <c r="B107" s="297"/>
      <c r="C107" s="297"/>
      <c r="D107" s="297"/>
      <c r="E107" s="297"/>
      <c r="F107" s="297"/>
      <c r="G107" s="297"/>
      <c r="H107" s="297"/>
      <c r="I107" s="297"/>
    </row>
    <row r="108" spans="2:9" s="33" customFormat="1" x14ac:dyDescent="0.2">
      <c r="B108" s="297"/>
      <c r="C108" s="297"/>
      <c r="D108" s="297"/>
      <c r="E108" s="297"/>
      <c r="F108" s="297"/>
      <c r="G108" s="297"/>
      <c r="H108" s="297"/>
      <c r="I108" s="297"/>
    </row>
    <row r="109" spans="2:9" s="33" customFormat="1" x14ac:dyDescent="0.2">
      <c r="B109" s="297"/>
      <c r="C109" s="297"/>
      <c r="D109" s="297"/>
      <c r="E109" s="297"/>
      <c r="F109" s="297"/>
      <c r="G109" s="297"/>
      <c r="H109" s="297"/>
      <c r="I109" s="297"/>
    </row>
    <row r="110" spans="2:9" s="33" customFormat="1" x14ac:dyDescent="0.2">
      <c r="B110" s="297"/>
      <c r="C110" s="297"/>
      <c r="D110" s="297"/>
      <c r="E110" s="297"/>
      <c r="F110" s="297"/>
      <c r="G110" s="297"/>
      <c r="H110" s="297"/>
      <c r="I110" s="297"/>
    </row>
    <row r="111" spans="2:9" s="33" customFormat="1" x14ac:dyDescent="0.2">
      <c r="B111" s="297"/>
      <c r="C111" s="297"/>
      <c r="D111" s="297"/>
      <c r="E111" s="297"/>
      <c r="F111" s="297"/>
      <c r="G111" s="297"/>
      <c r="H111" s="297"/>
      <c r="I111" s="297"/>
    </row>
    <row r="112" spans="2:9" s="33" customFormat="1" x14ac:dyDescent="0.2">
      <c r="B112" s="297"/>
      <c r="C112" s="297"/>
      <c r="D112" s="297"/>
      <c r="E112" s="297"/>
      <c r="F112" s="297"/>
      <c r="G112" s="297"/>
      <c r="H112" s="297"/>
      <c r="I112" s="297"/>
    </row>
    <row r="113" s="33" customFormat="1" x14ac:dyDescent="0.2"/>
    <row r="114" s="33" customFormat="1" x14ac:dyDescent="0.2"/>
    <row r="115" s="33" customFormat="1" x14ac:dyDescent="0.2"/>
    <row r="116" s="33" customFormat="1" x14ac:dyDescent="0.2"/>
    <row r="117" s="33" customFormat="1" x14ac:dyDescent="0.2"/>
    <row r="118" s="33" customFormat="1" x14ac:dyDescent="0.2"/>
  </sheetData>
  <sheetProtection password="C931" sheet="1" selectLockedCells="1"/>
  <mergeCells count="44">
    <mergeCell ref="B77:I92"/>
    <mergeCell ref="B95:I112"/>
    <mergeCell ref="B38:C38"/>
    <mergeCell ref="B39:C39"/>
    <mergeCell ref="B71:I71"/>
    <mergeCell ref="B72:I72"/>
    <mergeCell ref="B73:I73"/>
    <mergeCell ref="B62:D62"/>
    <mergeCell ref="B67:I67"/>
    <mergeCell ref="B70:I70"/>
    <mergeCell ref="F62:K62"/>
    <mergeCell ref="J49:K49"/>
    <mergeCell ref="J50:K50"/>
    <mergeCell ref="J51:K51"/>
    <mergeCell ref="B43:I51"/>
    <mergeCell ref="B68:I68"/>
    <mergeCell ref="C10:D10"/>
    <mergeCell ref="B28:C28"/>
    <mergeCell ref="B29:C29"/>
    <mergeCell ref="B36:C36"/>
    <mergeCell ref="B37:C37"/>
    <mergeCell ref="B35:C35"/>
    <mergeCell ref="B27:C27"/>
    <mergeCell ref="C11:D11"/>
    <mergeCell ref="B24:C24"/>
    <mergeCell ref="B10:B11"/>
    <mergeCell ref="B25:C25"/>
    <mergeCell ref="C9:D9"/>
    <mergeCell ref="L1:L3"/>
    <mergeCell ref="I2:I3"/>
    <mergeCell ref="C6:D6"/>
    <mergeCell ref="C7:D7"/>
    <mergeCell ref="C8:D8"/>
    <mergeCell ref="J48:K48"/>
    <mergeCell ref="B26:C26"/>
    <mergeCell ref="J45:K45"/>
    <mergeCell ref="J46:K46"/>
    <mergeCell ref="J44:K44"/>
    <mergeCell ref="J47:K47"/>
    <mergeCell ref="B33:C33"/>
    <mergeCell ref="B34:C34"/>
    <mergeCell ref="B30:C30"/>
    <mergeCell ref="B31:C31"/>
    <mergeCell ref="B32:C32"/>
  </mergeCells>
  <hyperlinks>
    <hyperlink ref="L4" location="Input!A1" display="Return to Input" xr:uid="{00000000-0004-0000-0400-000000000000}"/>
  </hyperlinks>
  <printOptions horizontalCentered="1" verticalCentered="1"/>
  <pageMargins left="0.39370078740157483" right="0.39370078740157483" top="0" bottom="0" header="0.31496062992125984" footer="0.31496062992125984"/>
  <pageSetup scale="71" orientation="portrait" verticalDpi="429496729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pageSetUpPr fitToPage="1"/>
  </sheetPr>
  <dimension ref="A1:AD114"/>
  <sheetViews>
    <sheetView topLeftCell="A4" workbookViewId="0">
      <selection activeCell="L4" sqref="L4"/>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17.484375" style="22" hidden="1" customWidth="1"/>
    <col min="8" max="9" width="25.69140625" style="22" customWidth="1"/>
    <col min="10" max="11" width="0" style="31" hidden="1" customWidth="1"/>
    <col min="12" max="12" width="26.09765625" style="31" customWidth="1"/>
    <col min="13" max="13" width="13.98828125" style="31" bestFit="1" customWidth="1"/>
    <col min="14" max="28" width="8.875" style="31"/>
    <col min="29"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301"/>
    </row>
    <row r="2" spans="2:28" x14ac:dyDescent="0.2">
      <c r="C2" s="23" t="s">
        <v>53</v>
      </c>
      <c r="H2" s="24"/>
      <c r="I2" s="283" t="s">
        <v>55</v>
      </c>
      <c r="J2" s="109"/>
      <c r="L2" s="301"/>
    </row>
    <row r="3" spans="2:28" x14ac:dyDescent="0.2">
      <c r="C3" s="23" t="str">
        <f>INPUT!D43</f>
        <v>Nob Hill</v>
      </c>
      <c r="H3" s="26"/>
      <c r="I3" s="283"/>
      <c r="J3" s="109"/>
      <c r="L3" s="301"/>
    </row>
    <row r="4" spans="2:28" x14ac:dyDescent="0.2">
      <c r="C4" s="23" t="s">
        <v>58</v>
      </c>
      <c r="H4" s="25"/>
      <c r="I4" s="25"/>
      <c r="J4" s="109"/>
      <c r="L4" s="105" t="s">
        <v>59</v>
      </c>
    </row>
    <row r="5" spans="2:28" ht="15.75" thickBot="1" x14ac:dyDescent="0.25">
      <c r="H5" s="25"/>
      <c r="I5" s="25"/>
      <c r="J5" s="109"/>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30"/>
      <c r="G7" s="30"/>
      <c r="H7" s="25"/>
    </row>
    <row r="8" spans="2:28" x14ac:dyDescent="0.2">
      <c r="B8" s="32" t="s">
        <v>8</v>
      </c>
      <c r="C8" s="288">
        <f>INPUT!D46</f>
        <v>597</v>
      </c>
      <c r="D8" s="289"/>
      <c r="L8" s="33"/>
      <c r="M8" s="33"/>
      <c r="N8" s="33"/>
      <c r="O8" s="33"/>
      <c r="P8" s="33"/>
      <c r="Q8" s="33"/>
    </row>
    <row r="9" spans="2:28" x14ac:dyDescent="0.2">
      <c r="B9" s="32" t="s">
        <v>61</v>
      </c>
      <c r="C9" s="280">
        <f>INPUT!D47</f>
        <v>17314000</v>
      </c>
      <c r="D9" s="281"/>
      <c r="J9" s="33"/>
      <c r="K9" s="33"/>
    </row>
    <row r="10" spans="2:28" x14ac:dyDescent="0.2">
      <c r="B10" s="278" t="s">
        <v>62</v>
      </c>
      <c r="C10" s="270" t="s">
        <v>117</v>
      </c>
      <c r="D10" s="271"/>
      <c r="E10" s="33"/>
      <c r="F10" s="33"/>
      <c r="G10" s="33"/>
      <c r="H10" s="33"/>
      <c r="I10" s="33"/>
      <c r="J10" s="33"/>
      <c r="K10" s="33"/>
      <c r="L10" s="33"/>
      <c r="M10" s="33"/>
      <c r="N10" s="33"/>
    </row>
    <row r="11" spans="2:28" x14ac:dyDescent="0.2">
      <c r="B11" s="278"/>
      <c r="C11" s="138" t="s">
        <v>253</v>
      </c>
      <c r="D11" s="139"/>
      <c r="E11" s="33"/>
      <c r="F11" s="33"/>
      <c r="G11" s="33"/>
      <c r="H11" s="33"/>
      <c r="I11" s="33"/>
      <c r="J11" s="33"/>
      <c r="K11" s="33"/>
      <c r="L11" s="33"/>
      <c r="M11" s="33"/>
      <c r="N11" s="33"/>
    </row>
    <row r="12" spans="2:28" ht="15.75" thickBot="1" x14ac:dyDescent="0.25">
      <c r="B12" s="279"/>
      <c r="C12" s="272" t="s">
        <v>118</v>
      </c>
      <c r="D12" s="273"/>
      <c r="E12" s="33"/>
      <c r="F12" s="33"/>
      <c r="G12" s="33"/>
      <c r="H12" s="33"/>
      <c r="I12" s="33"/>
      <c r="J12" s="33"/>
      <c r="K12" s="33"/>
      <c r="L12" s="33"/>
      <c r="M12" s="33"/>
      <c r="N12" s="33"/>
    </row>
    <row r="13" spans="2:28" x14ac:dyDescent="0.2">
      <c r="E13" s="33"/>
      <c r="F13" s="33"/>
      <c r="G13" s="33"/>
      <c r="H13" s="33"/>
      <c r="I13" s="33"/>
      <c r="J13" s="33"/>
      <c r="K13" s="33"/>
      <c r="L13" s="86" t="s">
        <v>63</v>
      </c>
      <c r="M13" s="87">
        <v>0.02</v>
      </c>
      <c r="N13" s="33"/>
    </row>
    <row r="14" spans="2:28" x14ac:dyDescent="0.2">
      <c r="B14" s="34" t="s">
        <v>64</v>
      </c>
      <c r="C14" s="34"/>
      <c r="E14" s="33"/>
      <c r="F14" s="33"/>
      <c r="G14" s="33"/>
      <c r="H14" s="33"/>
      <c r="I14" s="33"/>
      <c r="J14" s="33"/>
      <c r="K14" s="33"/>
      <c r="L14" s="33"/>
      <c r="M14" s="87">
        <v>0</v>
      </c>
      <c r="N14" s="33"/>
    </row>
    <row r="15" spans="2:28" x14ac:dyDescent="0.2">
      <c r="B15" s="35" t="s">
        <v>65</v>
      </c>
      <c r="C15" s="36"/>
      <c r="D15" s="37">
        <f>C9</f>
        <v>17314000</v>
      </c>
      <c r="E15" s="38">
        <f>C9</f>
        <v>17314000</v>
      </c>
      <c r="F15" s="39">
        <f>D15-E15</f>
        <v>0</v>
      </c>
      <c r="G15" s="33"/>
      <c r="H15" s="33"/>
      <c r="I15" s="33"/>
      <c r="J15" s="33"/>
      <c r="K15" s="33"/>
      <c r="L15" s="33"/>
      <c r="M15" s="33"/>
      <c r="N15" s="33"/>
      <c r="AA15" s="22"/>
      <c r="AB15" s="22"/>
    </row>
    <row r="16" spans="2:28" hidden="1" x14ac:dyDescent="0.2">
      <c r="B16" s="115"/>
      <c r="C16" s="41"/>
      <c r="D16" s="42"/>
      <c r="E16" s="43"/>
      <c r="F16" s="39"/>
      <c r="G16" s="39"/>
      <c r="H16" s="39"/>
      <c r="I16" s="33"/>
      <c r="J16" s="33"/>
      <c r="K16" s="95"/>
      <c r="L16" s="33"/>
      <c r="M16" s="33"/>
      <c r="N16" s="33"/>
      <c r="O16" s="33"/>
      <c r="P16" s="33"/>
      <c r="Q16" s="65"/>
      <c r="R16" s="65"/>
      <c r="S16" s="33"/>
      <c r="T16" s="33"/>
      <c r="U16" s="33"/>
    </row>
    <row r="17" spans="2:21" hidden="1" x14ac:dyDescent="0.2">
      <c r="B17" s="115"/>
      <c r="C17" s="77"/>
      <c r="D17" s="42"/>
      <c r="E17" s="43"/>
      <c r="F17" s="39"/>
      <c r="G17" s="39"/>
      <c r="H17" s="39"/>
      <c r="I17" s="33"/>
      <c r="J17" s="33"/>
      <c r="K17" s="95"/>
      <c r="L17" s="33"/>
      <c r="M17" s="33"/>
      <c r="N17" s="33"/>
      <c r="O17" s="33"/>
      <c r="P17" s="33"/>
      <c r="Q17" s="65"/>
      <c r="R17" s="65"/>
      <c r="S17" s="33"/>
      <c r="T17" s="33"/>
      <c r="U17" s="33"/>
    </row>
    <row r="18" spans="2:21" x14ac:dyDescent="0.2">
      <c r="B18" s="115" t="s">
        <v>67</v>
      </c>
      <c r="C18" s="77">
        <v>7.4999999999999997E-2</v>
      </c>
      <c r="D18" s="42">
        <f>IF(C18&gt;7.5%,"INVALID",(D15-D16-D17)*C18)</f>
        <v>1298550</v>
      </c>
      <c r="E18" s="38"/>
      <c r="F18" s="39"/>
      <c r="G18" s="39"/>
      <c r="H18" s="39"/>
      <c r="I18" s="33"/>
      <c r="J18" s="33"/>
      <c r="K18" s="95"/>
      <c r="L18" s="33"/>
      <c r="M18" s="33"/>
      <c r="N18" s="33"/>
      <c r="O18" s="33"/>
      <c r="P18" s="33"/>
      <c r="Q18" s="65"/>
      <c r="R18" s="65"/>
      <c r="S18" s="33"/>
      <c r="T18" s="33"/>
      <c r="U18" s="33"/>
    </row>
    <row r="19" spans="2:21" x14ac:dyDescent="0.2">
      <c r="B19" s="115">
        <f>IF(INPUT!$D$42="Repeat Buyer",Classic_Mem_Inst1!$L$13,Classic_Mem_Inst1!$L$14)</f>
        <v>0</v>
      </c>
      <c r="C19" s="97">
        <f>IF(B19=Classic_Mem_Inst1!$L$13,Classic_Mem_Inst1!$M$13,Classic_Mem_Inst1!$M$14)</f>
        <v>0</v>
      </c>
      <c r="D19" s="42">
        <f>(D15-D16-D17-D18)*C19</f>
        <v>0</v>
      </c>
      <c r="E19" s="44"/>
      <c r="F19" s="39"/>
      <c r="G19" s="39"/>
      <c r="H19" s="39"/>
      <c r="I19" s="33"/>
      <c r="J19" s="33"/>
      <c r="K19" s="95"/>
      <c r="L19" s="33"/>
      <c r="M19" s="33"/>
      <c r="N19" s="33"/>
      <c r="O19" s="33"/>
      <c r="P19" s="33"/>
      <c r="Q19" s="65"/>
      <c r="R19" s="65"/>
      <c r="S19" s="33"/>
      <c r="T19" s="33"/>
      <c r="U19" s="33"/>
    </row>
    <row r="20" spans="2:21" x14ac:dyDescent="0.2">
      <c r="B20" s="40" t="s">
        <v>68</v>
      </c>
      <c r="C20" s="97">
        <v>0.05</v>
      </c>
      <c r="D20" s="42">
        <f>((D15-D16-D17-D18-D19)/1.12)*C20</f>
        <v>714975.44642857136</v>
      </c>
      <c r="E20" s="44"/>
      <c r="F20" s="39"/>
      <c r="G20" s="39"/>
      <c r="H20" s="39"/>
      <c r="I20" s="33"/>
      <c r="J20" s="33"/>
      <c r="K20" s="95"/>
      <c r="L20" s="33"/>
      <c r="M20" s="33"/>
      <c r="N20" s="33"/>
      <c r="O20" s="33"/>
      <c r="P20" s="33"/>
      <c r="Q20" s="65"/>
      <c r="R20" s="65"/>
      <c r="S20" s="33"/>
      <c r="T20" s="33"/>
      <c r="U20" s="33"/>
    </row>
    <row r="21" spans="2:21" ht="15.75" thickBot="1" x14ac:dyDescent="0.25">
      <c r="B21" s="45" t="s">
        <v>69</v>
      </c>
      <c r="C21" s="46"/>
      <c r="D21" s="47">
        <f>(D15-SUM(D16:D19))+D20</f>
        <v>16730425.446428571</v>
      </c>
      <c r="E21" s="61"/>
      <c r="F21" s="113"/>
      <c r="G21" s="113"/>
      <c r="H21" s="113"/>
      <c r="I21" s="31"/>
    </row>
    <row r="22" spans="2:21" ht="16.5" thickTop="1" thickBot="1" x14ac:dyDescent="0.25">
      <c r="J22" s="33"/>
      <c r="K22" s="33"/>
    </row>
    <row r="23" spans="2:21" ht="15.75" thickBot="1" x14ac:dyDescent="0.25">
      <c r="B23" s="274" t="s">
        <v>70</v>
      </c>
      <c r="C23" s="275"/>
      <c r="D23" s="78" t="s">
        <v>71</v>
      </c>
      <c r="E23" s="78" t="s">
        <v>72</v>
      </c>
      <c r="F23" s="78" t="s">
        <v>73</v>
      </c>
      <c r="G23" s="78" t="s">
        <v>74</v>
      </c>
      <c r="H23" s="78" t="s">
        <v>75</v>
      </c>
      <c r="I23" s="79" t="s">
        <v>76</v>
      </c>
      <c r="J23" s="33"/>
      <c r="K23" s="33"/>
      <c r="L23" s="33"/>
      <c r="M23" s="33"/>
      <c r="N23" s="33"/>
    </row>
    <row r="24" spans="2:21" x14ac:dyDescent="0.2">
      <c r="B24" s="302">
        <v>0</v>
      </c>
      <c r="C24" s="303"/>
      <c r="D24" s="50">
        <f ca="1">INPUT!D48</f>
        <v>45360</v>
      </c>
      <c r="E24" s="141" t="s">
        <v>77</v>
      </c>
      <c r="F24" s="51">
        <v>50000</v>
      </c>
      <c r="G24" s="51"/>
      <c r="H24" s="51">
        <f>SUM(F24:G24)</f>
        <v>50000</v>
      </c>
      <c r="I24" s="52">
        <f>D21-H24</f>
        <v>16680425.446428571</v>
      </c>
      <c r="J24" s="53" t="s">
        <v>78</v>
      </c>
      <c r="K24" s="33"/>
      <c r="L24" s="38">
        <v>56000</v>
      </c>
      <c r="M24" s="33">
        <f>L24-H24</f>
        <v>6000</v>
      </c>
      <c r="N24" s="33"/>
    </row>
    <row r="25" spans="2:21" hidden="1" x14ac:dyDescent="0.2">
      <c r="B25" s="290"/>
      <c r="C25" s="265"/>
      <c r="D25" s="73"/>
      <c r="E25" s="74" t="s">
        <v>79</v>
      </c>
      <c r="F25" s="75"/>
      <c r="G25" s="75"/>
      <c r="H25" s="75">
        <v>0</v>
      </c>
      <c r="I25" s="76">
        <f>I24-H25</f>
        <v>16680425.446428571</v>
      </c>
      <c r="J25" s="53"/>
      <c r="K25" s="33"/>
      <c r="L25" s="38"/>
      <c r="M25" s="33"/>
      <c r="N25" s="33"/>
    </row>
    <row r="26" spans="2:21" x14ac:dyDescent="0.2">
      <c r="B26" s="290">
        <f>B25+1</f>
        <v>1</v>
      </c>
      <c r="C26" s="265"/>
      <c r="D26" s="70">
        <f ca="1">EDATE(D24,1)</f>
        <v>45391</v>
      </c>
      <c r="E26" s="134" t="s">
        <v>90</v>
      </c>
      <c r="F26" s="71">
        <f>(D21-D20)-SUM(F24,F27:F75)</f>
        <v>7957725.1000000034</v>
      </c>
      <c r="G26" s="71">
        <f>D20-SUM(G27:G75)</f>
        <v>357487.74642857153</v>
      </c>
      <c r="H26" s="71">
        <f>SUM(F26:G26)</f>
        <v>8315212.846428575</v>
      </c>
      <c r="I26" s="76">
        <f>I25-H26</f>
        <v>8365212.5999999959</v>
      </c>
      <c r="J26" s="53"/>
      <c r="K26" s="33"/>
      <c r="L26" s="38"/>
      <c r="M26" s="39"/>
      <c r="N26" s="33"/>
    </row>
    <row r="27" spans="2:21" x14ac:dyDescent="0.2">
      <c r="B27" s="290">
        <f t="shared" ref="B27:B75" si="0">B26+1</f>
        <v>2</v>
      </c>
      <c r="C27" s="265"/>
      <c r="D27" s="70">
        <f ca="1">EDATE(D26,1)</f>
        <v>45421</v>
      </c>
      <c r="E27" s="134" t="s">
        <v>91</v>
      </c>
      <c r="F27" s="71">
        <f>ROUND(((D21-D20)*25%)/48,2)</f>
        <v>83413.8</v>
      </c>
      <c r="G27" s="71">
        <f>ROUND((D20*25%)/48,2)</f>
        <v>3723.83</v>
      </c>
      <c r="H27" s="71">
        <f>SUM(F27:G27)</f>
        <v>87137.63</v>
      </c>
      <c r="I27" s="72">
        <f t="shared" ref="I27:I66" si="1">I26-H27</f>
        <v>8278074.969999996</v>
      </c>
      <c r="J27" s="53"/>
      <c r="K27" s="33"/>
      <c r="L27" s="38"/>
      <c r="M27" s="39"/>
      <c r="N27" s="33"/>
      <c r="O27" s="33"/>
      <c r="P27" s="33"/>
      <c r="Q27" s="33"/>
      <c r="R27" s="33"/>
      <c r="S27" s="33"/>
    </row>
    <row r="28" spans="2:21" x14ac:dyDescent="0.2">
      <c r="B28" s="290">
        <f t="shared" si="0"/>
        <v>3</v>
      </c>
      <c r="C28" s="265"/>
      <c r="D28" s="70">
        <f t="shared" ref="D28:D75" ca="1" si="2">EDATE(D27,1)</f>
        <v>45452</v>
      </c>
      <c r="E28" s="134" t="s">
        <v>92</v>
      </c>
      <c r="F28" s="71">
        <f>F27</f>
        <v>83413.8</v>
      </c>
      <c r="G28" s="71">
        <f>G27</f>
        <v>3723.83</v>
      </c>
      <c r="H28" s="71">
        <f t="shared" ref="H28:H66" si="3">SUM(F28:G28)</f>
        <v>87137.63</v>
      </c>
      <c r="I28" s="72">
        <f t="shared" si="1"/>
        <v>8190937.3399999961</v>
      </c>
      <c r="J28" s="53"/>
      <c r="K28" s="33"/>
      <c r="L28" s="38"/>
      <c r="M28" s="39"/>
      <c r="N28" s="33"/>
      <c r="O28" s="33"/>
      <c r="P28" s="33"/>
      <c r="Q28" s="33"/>
      <c r="R28" s="33"/>
      <c r="S28" s="33"/>
    </row>
    <row r="29" spans="2:21" x14ac:dyDescent="0.2">
      <c r="B29" s="290">
        <f t="shared" si="0"/>
        <v>4</v>
      </c>
      <c r="C29" s="265"/>
      <c r="D29" s="70">
        <f t="shared" ca="1" si="2"/>
        <v>45482</v>
      </c>
      <c r="E29" s="134" t="s">
        <v>93</v>
      </c>
      <c r="F29" s="71">
        <f t="shared" ref="F29:G67" si="4">F28</f>
        <v>83413.8</v>
      </c>
      <c r="G29" s="71">
        <f t="shared" ref="G29:G65" si="5">G28</f>
        <v>3723.83</v>
      </c>
      <c r="H29" s="71">
        <f t="shared" si="3"/>
        <v>87137.63</v>
      </c>
      <c r="I29" s="72">
        <f t="shared" si="1"/>
        <v>8103799.7099999962</v>
      </c>
      <c r="J29" s="53"/>
      <c r="K29" s="33"/>
      <c r="L29" s="38"/>
      <c r="M29" s="39"/>
      <c r="N29" s="33"/>
      <c r="O29" s="33"/>
      <c r="P29" s="33"/>
      <c r="Q29" s="33"/>
      <c r="R29" s="33"/>
      <c r="S29" s="33"/>
    </row>
    <row r="30" spans="2:21" x14ac:dyDescent="0.2">
      <c r="B30" s="290">
        <f t="shared" si="0"/>
        <v>5</v>
      </c>
      <c r="C30" s="265"/>
      <c r="D30" s="70">
        <f t="shared" ca="1" si="2"/>
        <v>45513</v>
      </c>
      <c r="E30" s="134" t="s">
        <v>94</v>
      </c>
      <c r="F30" s="71">
        <f t="shared" si="4"/>
        <v>83413.8</v>
      </c>
      <c r="G30" s="71">
        <f t="shared" si="5"/>
        <v>3723.83</v>
      </c>
      <c r="H30" s="71">
        <f t="shared" si="3"/>
        <v>87137.63</v>
      </c>
      <c r="I30" s="72">
        <f t="shared" si="1"/>
        <v>8016662.0799999963</v>
      </c>
      <c r="J30" s="53"/>
      <c r="K30" s="33"/>
      <c r="L30" s="38"/>
      <c r="M30" s="39"/>
      <c r="N30" s="33"/>
      <c r="O30" s="33"/>
      <c r="P30" s="33"/>
      <c r="Q30" s="33"/>
      <c r="R30" s="33"/>
      <c r="S30" s="33"/>
    </row>
    <row r="31" spans="2:21" x14ac:dyDescent="0.2">
      <c r="B31" s="290">
        <f t="shared" si="0"/>
        <v>6</v>
      </c>
      <c r="C31" s="265"/>
      <c r="D31" s="70">
        <f t="shared" ca="1" si="2"/>
        <v>45544</v>
      </c>
      <c r="E31" s="134" t="s">
        <v>95</v>
      </c>
      <c r="F31" s="71">
        <f t="shared" si="4"/>
        <v>83413.8</v>
      </c>
      <c r="G31" s="71">
        <f t="shared" si="5"/>
        <v>3723.83</v>
      </c>
      <c r="H31" s="71">
        <f t="shared" si="3"/>
        <v>87137.63</v>
      </c>
      <c r="I31" s="72">
        <f t="shared" si="1"/>
        <v>7929524.4499999965</v>
      </c>
      <c r="J31" s="53"/>
      <c r="K31" s="33"/>
      <c r="L31" s="38"/>
      <c r="M31" s="39"/>
      <c r="N31" s="33"/>
      <c r="O31" s="33"/>
      <c r="P31" s="33"/>
      <c r="Q31" s="33"/>
      <c r="R31" s="33"/>
      <c r="S31" s="33"/>
    </row>
    <row r="32" spans="2:21" x14ac:dyDescent="0.2">
      <c r="B32" s="290">
        <f t="shared" si="0"/>
        <v>7</v>
      </c>
      <c r="C32" s="265"/>
      <c r="D32" s="70">
        <f t="shared" ca="1" si="2"/>
        <v>45574</v>
      </c>
      <c r="E32" s="134" t="s">
        <v>96</v>
      </c>
      <c r="F32" s="71">
        <f t="shared" si="4"/>
        <v>83413.8</v>
      </c>
      <c r="G32" s="71">
        <f t="shared" si="5"/>
        <v>3723.83</v>
      </c>
      <c r="H32" s="71">
        <f t="shared" si="3"/>
        <v>87137.63</v>
      </c>
      <c r="I32" s="72">
        <f t="shared" si="1"/>
        <v>7842386.8199999966</v>
      </c>
      <c r="J32" s="53"/>
      <c r="K32" s="33"/>
      <c r="L32" s="38"/>
      <c r="M32" s="39"/>
      <c r="N32" s="33"/>
      <c r="O32" s="33"/>
      <c r="P32" s="33"/>
      <c r="Q32" s="33"/>
      <c r="R32" s="33"/>
      <c r="S32" s="33"/>
    </row>
    <row r="33" spans="2:19" x14ac:dyDescent="0.2">
      <c r="B33" s="290">
        <f t="shared" si="0"/>
        <v>8</v>
      </c>
      <c r="C33" s="265"/>
      <c r="D33" s="70">
        <f t="shared" ca="1" si="2"/>
        <v>45605</v>
      </c>
      <c r="E33" s="134" t="s">
        <v>97</v>
      </c>
      <c r="F33" s="71">
        <f t="shared" si="4"/>
        <v>83413.8</v>
      </c>
      <c r="G33" s="71">
        <f t="shared" si="5"/>
        <v>3723.83</v>
      </c>
      <c r="H33" s="71">
        <f t="shared" si="3"/>
        <v>87137.63</v>
      </c>
      <c r="I33" s="72">
        <f t="shared" si="1"/>
        <v>7755249.1899999967</v>
      </c>
      <c r="J33" s="53"/>
      <c r="K33" s="33"/>
      <c r="L33" s="38"/>
      <c r="M33" s="39"/>
      <c r="N33" s="33"/>
      <c r="O33" s="33"/>
      <c r="P33" s="33"/>
      <c r="Q33" s="33"/>
      <c r="R33" s="33"/>
      <c r="S33" s="33"/>
    </row>
    <row r="34" spans="2:19" x14ac:dyDescent="0.2">
      <c r="B34" s="290">
        <f t="shared" si="0"/>
        <v>9</v>
      </c>
      <c r="C34" s="265"/>
      <c r="D34" s="70">
        <f t="shared" ca="1" si="2"/>
        <v>45635</v>
      </c>
      <c r="E34" s="134" t="s">
        <v>98</v>
      </c>
      <c r="F34" s="71">
        <f t="shared" si="4"/>
        <v>83413.8</v>
      </c>
      <c r="G34" s="71">
        <f t="shared" si="5"/>
        <v>3723.83</v>
      </c>
      <c r="H34" s="71">
        <f t="shared" si="3"/>
        <v>87137.63</v>
      </c>
      <c r="I34" s="72">
        <f t="shared" si="1"/>
        <v>7668111.5599999968</v>
      </c>
      <c r="J34" s="53"/>
      <c r="K34" s="33"/>
      <c r="L34" s="38"/>
      <c r="M34" s="39"/>
      <c r="N34" s="33"/>
      <c r="O34" s="33"/>
      <c r="P34" s="33"/>
      <c r="Q34" s="33"/>
      <c r="R34" s="33"/>
      <c r="S34" s="33"/>
    </row>
    <row r="35" spans="2:19" x14ac:dyDescent="0.2">
      <c r="B35" s="290">
        <f t="shared" si="0"/>
        <v>10</v>
      </c>
      <c r="C35" s="265"/>
      <c r="D35" s="70">
        <f t="shared" ca="1" si="2"/>
        <v>45666</v>
      </c>
      <c r="E35" s="134" t="s">
        <v>99</v>
      </c>
      <c r="F35" s="71">
        <f t="shared" si="4"/>
        <v>83413.8</v>
      </c>
      <c r="G35" s="71">
        <f t="shared" si="5"/>
        <v>3723.83</v>
      </c>
      <c r="H35" s="71">
        <f t="shared" si="3"/>
        <v>87137.63</v>
      </c>
      <c r="I35" s="72">
        <f t="shared" si="1"/>
        <v>7580973.9299999969</v>
      </c>
      <c r="J35" s="53"/>
      <c r="K35" s="33"/>
      <c r="L35" s="38"/>
      <c r="M35" s="39"/>
      <c r="N35" s="33"/>
      <c r="O35" s="33"/>
      <c r="P35" s="33"/>
      <c r="Q35" s="33"/>
      <c r="R35" s="33"/>
      <c r="S35" s="33"/>
    </row>
    <row r="36" spans="2:19" x14ac:dyDescent="0.2">
      <c r="B36" s="290">
        <f t="shared" si="0"/>
        <v>11</v>
      </c>
      <c r="C36" s="265"/>
      <c r="D36" s="70">
        <f t="shared" ca="1" si="2"/>
        <v>45697</v>
      </c>
      <c r="E36" s="134" t="s">
        <v>100</v>
      </c>
      <c r="F36" s="71">
        <f t="shared" si="4"/>
        <v>83413.8</v>
      </c>
      <c r="G36" s="71">
        <f t="shared" si="5"/>
        <v>3723.83</v>
      </c>
      <c r="H36" s="71">
        <f t="shared" si="3"/>
        <v>87137.63</v>
      </c>
      <c r="I36" s="72">
        <f t="shared" si="1"/>
        <v>7493836.299999997</v>
      </c>
      <c r="J36" s="53"/>
      <c r="K36" s="33"/>
      <c r="L36" s="38"/>
      <c r="M36" s="39"/>
      <c r="N36" s="33"/>
      <c r="O36" s="33"/>
      <c r="P36" s="33"/>
      <c r="Q36" s="33"/>
      <c r="R36" s="33"/>
      <c r="S36" s="33"/>
    </row>
    <row r="37" spans="2:19" x14ac:dyDescent="0.2">
      <c r="B37" s="290">
        <f t="shared" si="0"/>
        <v>12</v>
      </c>
      <c r="C37" s="265"/>
      <c r="D37" s="70">
        <f t="shared" ca="1" si="2"/>
        <v>45725</v>
      </c>
      <c r="E37" s="134" t="s">
        <v>101</v>
      </c>
      <c r="F37" s="71">
        <f t="shared" si="4"/>
        <v>83413.8</v>
      </c>
      <c r="G37" s="71">
        <f t="shared" si="5"/>
        <v>3723.83</v>
      </c>
      <c r="H37" s="71">
        <f t="shared" si="3"/>
        <v>87137.63</v>
      </c>
      <c r="I37" s="72">
        <f t="shared" si="1"/>
        <v>7406698.6699999971</v>
      </c>
      <c r="J37" s="53"/>
      <c r="K37" s="33"/>
      <c r="L37" s="38"/>
      <c r="M37" s="39"/>
      <c r="N37" s="33"/>
      <c r="O37" s="33"/>
      <c r="P37" s="33"/>
      <c r="Q37" s="33"/>
      <c r="R37" s="33"/>
      <c r="S37" s="33"/>
    </row>
    <row r="38" spans="2:19" x14ac:dyDescent="0.2">
      <c r="B38" s="290">
        <f t="shared" si="0"/>
        <v>13</v>
      </c>
      <c r="C38" s="265"/>
      <c r="D38" s="70">
        <f t="shared" ca="1" si="2"/>
        <v>45756</v>
      </c>
      <c r="E38" s="134" t="s">
        <v>102</v>
      </c>
      <c r="F38" s="71">
        <f t="shared" si="4"/>
        <v>83413.8</v>
      </c>
      <c r="G38" s="71">
        <f t="shared" si="5"/>
        <v>3723.83</v>
      </c>
      <c r="H38" s="71">
        <f t="shared" si="3"/>
        <v>87137.63</v>
      </c>
      <c r="I38" s="72">
        <f t="shared" si="1"/>
        <v>7319561.0399999972</v>
      </c>
      <c r="J38" s="53"/>
      <c r="K38" s="33"/>
      <c r="L38" s="38"/>
      <c r="M38" s="39"/>
      <c r="N38" s="33"/>
      <c r="O38" s="33"/>
      <c r="P38" s="33"/>
      <c r="Q38" s="33"/>
      <c r="R38" s="33"/>
      <c r="S38" s="33"/>
    </row>
    <row r="39" spans="2:19" x14ac:dyDescent="0.2">
      <c r="B39" s="290">
        <f t="shared" si="0"/>
        <v>14</v>
      </c>
      <c r="C39" s="265"/>
      <c r="D39" s="70">
        <f t="shared" ca="1" si="2"/>
        <v>45786</v>
      </c>
      <c r="E39" s="134" t="s">
        <v>103</v>
      </c>
      <c r="F39" s="71">
        <f t="shared" si="4"/>
        <v>83413.8</v>
      </c>
      <c r="G39" s="71">
        <f t="shared" si="5"/>
        <v>3723.83</v>
      </c>
      <c r="H39" s="71">
        <f t="shared" si="3"/>
        <v>87137.63</v>
      </c>
      <c r="I39" s="72">
        <f t="shared" si="1"/>
        <v>7232423.4099999974</v>
      </c>
      <c r="J39" s="53"/>
      <c r="K39" s="33"/>
      <c r="L39" s="38"/>
      <c r="M39" s="39"/>
      <c r="N39" s="33"/>
      <c r="O39" s="33"/>
      <c r="P39" s="33"/>
      <c r="Q39" s="33"/>
      <c r="R39" s="33"/>
      <c r="S39" s="33"/>
    </row>
    <row r="40" spans="2:19" x14ac:dyDescent="0.2">
      <c r="B40" s="290">
        <f t="shared" si="0"/>
        <v>15</v>
      </c>
      <c r="C40" s="265"/>
      <c r="D40" s="70">
        <f t="shared" ca="1" si="2"/>
        <v>45817</v>
      </c>
      <c r="E40" s="134" t="s">
        <v>104</v>
      </c>
      <c r="F40" s="71">
        <f t="shared" si="4"/>
        <v>83413.8</v>
      </c>
      <c r="G40" s="71">
        <f t="shared" si="5"/>
        <v>3723.83</v>
      </c>
      <c r="H40" s="71">
        <f t="shared" si="3"/>
        <v>87137.63</v>
      </c>
      <c r="I40" s="72">
        <f t="shared" si="1"/>
        <v>7145285.7799999975</v>
      </c>
      <c r="J40" s="53"/>
      <c r="K40" s="33"/>
      <c r="L40" s="38"/>
      <c r="M40" s="39"/>
      <c r="N40" s="33"/>
      <c r="O40" s="33"/>
      <c r="P40" s="33"/>
      <c r="Q40" s="33"/>
      <c r="R40" s="33"/>
      <c r="S40" s="33"/>
    </row>
    <row r="41" spans="2:19" x14ac:dyDescent="0.2">
      <c r="B41" s="290">
        <f t="shared" si="0"/>
        <v>16</v>
      </c>
      <c r="C41" s="265"/>
      <c r="D41" s="70">
        <f t="shared" ca="1" si="2"/>
        <v>45847</v>
      </c>
      <c r="E41" s="134" t="s">
        <v>105</v>
      </c>
      <c r="F41" s="71">
        <f t="shared" si="4"/>
        <v>83413.8</v>
      </c>
      <c r="G41" s="71">
        <f t="shared" si="5"/>
        <v>3723.83</v>
      </c>
      <c r="H41" s="71">
        <f t="shared" si="3"/>
        <v>87137.63</v>
      </c>
      <c r="I41" s="72">
        <f t="shared" si="1"/>
        <v>7058148.1499999976</v>
      </c>
      <c r="J41" s="53"/>
      <c r="K41" s="33"/>
      <c r="L41" s="38"/>
      <c r="M41" s="39"/>
      <c r="N41" s="33"/>
      <c r="O41" s="33"/>
      <c r="P41" s="33"/>
      <c r="Q41" s="33"/>
      <c r="R41" s="33"/>
      <c r="S41" s="33"/>
    </row>
    <row r="42" spans="2:19" x14ac:dyDescent="0.2">
      <c r="B42" s="290">
        <f t="shared" si="0"/>
        <v>17</v>
      </c>
      <c r="C42" s="265"/>
      <c r="D42" s="70">
        <f t="shared" ca="1" si="2"/>
        <v>45878</v>
      </c>
      <c r="E42" s="134" t="s">
        <v>106</v>
      </c>
      <c r="F42" s="71">
        <f t="shared" si="4"/>
        <v>83413.8</v>
      </c>
      <c r="G42" s="71">
        <f t="shared" si="5"/>
        <v>3723.83</v>
      </c>
      <c r="H42" s="71">
        <f t="shared" si="3"/>
        <v>87137.63</v>
      </c>
      <c r="I42" s="72">
        <f t="shared" si="1"/>
        <v>6971010.5199999977</v>
      </c>
      <c r="J42" s="53"/>
      <c r="K42" s="33"/>
      <c r="L42" s="38"/>
      <c r="M42" s="39"/>
      <c r="N42" s="33"/>
      <c r="O42" s="33"/>
      <c r="P42" s="33"/>
      <c r="Q42" s="33"/>
      <c r="R42" s="33"/>
      <c r="S42" s="33"/>
    </row>
    <row r="43" spans="2:19" x14ac:dyDescent="0.2">
      <c r="B43" s="290">
        <f t="shared" si="0"/>
        <v>18</v>
      </c>
      <c r="C43" s="265"/>
      <c r="D43" s="70">
        <f t="shared" ca="1" si="2"/>
        <v>45909</v>
      </c>
      <c r="E43" s="134" t="s">
        <v>107</v>
      </c>
      <c r="F43" s="71">
        <f t="shared" si="4"/>
        <v>83413.8</v>
      </c>
      <c r="G43" s="71">
        <f t="shared" si="5"/>
        <v>3723.83</v>
      </c>
      <c r="H43" s="71">
        <f t="shared" si="3"/>
        <v>87137.63</v>
      </c>
      <c r="I43" s="72">
        <f t="shared" si="1"/>
        <v>6883872.8899999978</v>
      </c>
      <c r="J43" s="53"/>
      <c r="K43" s="33"/>
      <c r="L43" s="38"/>
      <c r="M43" s="39"/>
      <c r="N43" s="33"/>
      <c r="O43" s="33"/>
      <c r="P43" s="33"/>
      <c r="Q43" s="33"/>
      <c r="R43" s="33"/>
      <c r="S43" s="33"/>
    </row>
    <row r="44" spans="2:19" x14ac:dyDescent="0.2">
      <c r="B44" s="290">
        <f t="shared" si="0"/>
        <v>19</v>
      </c>
      <c r="C44" s="265"/>
      <c r="D44" s="70">
        <f t="shared" ca="1" si="2"/>
        <v>45939</v>
      </c>
      <c r="E44" s="134" t="s">
        <v>108</v>
      </c>
      <c r="F44" s="71">
        <f t="shared" si="4"/>
        <v>83413.8</v>
      </c>
      <c r="G44" s="71">
        <f t="shared" si="5"/>
        <v>3723.83</v>
      </c>
      <c r="H44" s="71">
        <f t="shared" si="3"/>
        <v>87137.63</v>
      </c>
      <c r="I44" s="72">
        <f t="shared" si="1"/>
        <v>6796735.2599999979</v>
      </c>
      <c r="J44" s="53"/>
      <c r="K44" s="33"/>
      <c r="L44" s="38"/>
      <c r="M44" s="39"/>
      <c r="N44" s="33"/>
      <c r="O44" s="33"/>
      <c r="P44" s="33"/>
      <c r="Q44" s="33"/>
      <c r="R44" s="33"/>
      <c r="S44" s="33"/>
    </row>
    <row r="45" spans="2:19" x14ac:dyDescent="0.2">
      <c r="B45" s="290">
        <f t="shared" si="0"/>
        <v>20</v>
      </c>
      <c r="C45" s="265"/>
      <c r="D45" s="70">
        <f t="shared" ca="1" si="2"/>
        <v>45970</v>
      </c>
      <c r="E45" s="134" t="s">
        <v>109</v>
      </c>
      <c r="F45" s="71">
        <f t="shared" si="4"/>
        <v>83413.8</v>
      </c>
      <c r="G45" s="71">
        <f t="shared" si="5"/>
        <v>3723.83</v>
      </c>
      <c r="H45" s="71">
        <f t="shared" si="3"/>
        <v>87137.63</v>
      </c>
      <c r="I45" s="72">
        <f t="shared" si="1"/>
        <v>6709597.629999998</v>
      </c>
      <c r="J45" s="53"/>
      <c r="K45" s="33"/>
      <c r="L45" s="38"/>
      <c r="M45" s="39"/>
      <c r="N45" s="33"/>
      <c r="O45" s="33"/>
      <c r="P45" s="33"/>
      <c r="Q45" s="33"/>
      <c r="R45" s="33"/>
      <c r="S45" s="33"/>
    </row>
    <row r="46" spans="2:19" x14ac:dyDescent="0.2">
      <c r="B46" s="290">
        <f t="shared" si="0"/>
        <v>21</v>
      </c>
      <c r="C46" s="265"/>
      <c r="D46" s="70">
        <f t="shared" ca="1" si="2"/>
        <v>46000</v>
      </c>
      <c r="E46" s="134" t="s">
        <v>110</v>
      </c>
      <c r="F46" s="71">
        <f t="shared" si="4"/>
        <v>83413.8</v>
      </c>
      <c r="G46" s="71">
        <f t="shared" si="5"/>
        <v>3723.83</v>
      </c>
      <c r="H46" s="71">
        <f t="shared" si="3"/>
        <v>87137.63</v>
      </c>
      <c r="I46" s="72">
        <f t="shared" si="1"/>
        <v>6622459.9999999981</v>
      </c>
      <c r="J46" s="53"/>
      <c r="K46" s="33"/>
      <c r="L46" s="38"/>
      <c r="M46" s="39"/>
      <c r="N46" s="33"/>
      <c r="O46" s="33"/>
      <c r="P46" s="33"/>
      <c r="Q46" s="33"/>
      <c r="R46" s="33"/>
      <c r="S46" s="33"/>
    </row>
    <row r="47" spans="2:19" x14ac:dyDescent="0.2">
      <c r="B47" s="290">
        <f t="shared" si="0"/>
        <v>22</v>
      </c>
      <c r="C47" s="265"/>
      <c r="D47" s="70">
        <f t="shared" ca="1" si="2"/>
        <v>46031</v>
      </c>
      <c r="E47" s="134" t="s">
        <v>111</v>
      </c>
      <c r="F47" s="71">
        <f t="shared" si="4"/>
        <v>83413.8</v>
      </c>
      <c r="G47" s="71">
        <f t="shared" si="5"/>
        <v>3723.83</v>
      </c>
      <c r="H47" s="71">
        <f t="shared" si="3"/>
        <v>87137.63</v>
      </c>
      <c r="I47" s="72">
        <f t="shared" si="1"/>
        <v>6535322.3699999982</v>
      </c>
      <c r="J47" s="53"/>
      <c r="K47" s="33"/>
      <c r="L47" s="38"/>
      <c r="M47" s="39"/>
      <c r="N47" s="33"/>
      <c r="O47" s="33"/>
      <c r="P47" s="33"/>
      <c r="Q47" s="33"/>
      <c r="R47" s="33"/>
      <c r="S47" s="33"/>
    </row>
    <row r="48" spans="2:19" x14ac:dyDescent="0.2">
      <c r="B48" s="290">
        <f t="shared" si="0"/>
        <v>23</v>
      </c>
      <c r="C48" s="265"/>
      <c r="D48" s="70">
        <f t="shared" ca="1" si="2"/>
        <v>46062</v>
      </c>
      <c r="E48" s="134" t="s">
        <v>112</v>
      </c>
      <c r="F48" s="71">
        <f t="shared" si="4"/>
        <v>83413.8</v>
      </c>
      <c r="G48" s="71">
        <f t="shared" si="5"/>
        <v>3723.83</v>
      </c>
      <c r="H48" s="71">
        <f t="shared" si="3"/>
        <v>87137.63</v>
      </c>
      <c r="I48" s="72">
        <f t="shared" si="1"/>
        <v>6448184.7399999984</v>
      </c>
      <c r="J48" s="53"/>
      <c r="K48" s="33"/>
      <c r="L48" s="38"/>
      <c r="M48" s="39"/>
      <c r="N48" s="33"/>
      <c r="O48" s="33"/>
      <c r="P48" s="33"/>
      <c r="Q48" s="33"/>
      <c r="R48" s="33"/>
      <c r="S48" s="33"/>
    </row>
    <row r="49" spans="2:19" x14ac:dyDescent="0.2">
      <c r="B49" s="290">
        <f t="shared" si="0"/>
        <v>24</v>
      </c>
      <c r="C49" s="265"/>
      <c r="D49" s="70">
        <f t="shared" ca="1" si="2"/>
        <v>46090</v>
      </c>
      <c r="E49" s="134" t="s">
        <v>113</v>
      </c>
      <c r="F49" s="71">
        <f t="shared" si="4"/>
        <v>83413.8</v>
      </c>
      <c r="G49" s="71">
        <f t="shared" si="5"/>
        <v>3723.83</v>
      </c>
      <c r="H49" s="71">
        <f t="shared" si="3"/>
        <v>87137.63</v>
      </c>
      <c r="I49" s="72">
        <f t="shared" si="1"/>
        <v>6361047.1099999985</v>
      </c>
      <c r="J49" s="53"/>
      <c r="K49" s="33"/>
      <c r="L49" s="38"/>
      <c r="M49" s="39"/>
      <c r="N49" s="33"/>
      <c r="O49" s="33"/>
      <c r="P49" s="33"/>
      <c r="Q49" s="33"/>
      <c r="R49" s="33"/>
      <c r="S49" s="33"/>
    </row>
    <row r="50" spans="2:19" x14ac:dyDescent="0.2">
      <c r="B50" s="290">
        <f t="shared" si="0"/>
        <v>25</v>
      </c>
      <c r="C50" s="265"/>
      <c r="D50" s="70">
        <f t="shared" ca="1" si="2"/>
        <v>46121</v>
      </c>
      <c r="E50" s="134" t="s">
        <v>114</v>
      </c>
      <c r="F50" s="71">
        <f t="shared" si="4"/>
        <v>83413.8</v>
      </c>
      <c r="G50" s="71">
        <f t="shared" si="5"/>
        <v>3723.83</v>
      </c>
      <c r="H50" s="71">
        <f t="shared" si="3"/>
        <v>87137.63</v>
      </c>
      <c r="I50" s="72">
        <f t="shared" si="1"/>
        <v>6273909.4799999986</v>
      </c>
      <c r="J50" s="53"/>
      <c r="K50" s="33"/>
      <c r="L50" s="38"/>
      <c r="M50" s="39"/>
      <c r="N50" s="33"/>
      <c r="O50" s="33"/>
      <c r="P50" s="33"/>
      <c r="Q50" s="33"/>
      <c r="R50" s="33"/>
      <c r="S50" s="33"/>
    </row>
    <row r="51" spans="2:19" x14ac:dyDescent="0.2">
      <c r="B51" s="290">
        <f t="shared" si="0"/>
        <v>26</v>
      </c>
      <c r="C51" s="265"/>
      <c r="D51" s="70">
        <f t="shared" ca="1" si="2"/>
        <v>46151</v>
      </c>
      <c r="E51" s="134" t="s">
        <v>119</v>
      </c>
      <c r="F51" s="71">
        <f t="shared" si="4"/>
        <v>83413.8</v>
      </c>
      <c r="G51" s="71">
        <f t="shared" si="5"/>
        <v>3723.83</v>
      </c>
      <c r="H51" s="71">
        <f t="shared" si="3"/>
        <v>87137.63</v>
      </c>
      <c r="I51" s="72">
        <f t="shared" si="1"/>
        <v>6186771.8499999987</v>
      </c>
      <c r="J51" s="53"/>
      <c r="K51" s="33"/>
      <c r="L51" s="38"/>
      <c r="M51" s="39"/>
      <c r="N51" s="33"/>
      <c r="O51" s="33"/>
      <c r="P51" s="33"/>
      <c r="Q51" s="33"/>
      <c r="R51" s="33"/>
      <c r="S51" s="33"/>
    </row>
    <row r="52" spans="2:19" x14ac:dyDescent="0.2">
      <c r="B52" s="290">
        <f t="shared" si="0"/>
        <v>27</v>
      </c>
      <c r="C52" s="265"/>
      <c r="D52" s="70">
        <f t="shared" ca="1" si="2"/>
        <v>46182</v>
      </c>
      <c r="E52" s="134" t="s">
        <v>120</v>
      </c>
      <c r="F52" s="71">
        <f t="shared" si="4"/>
        <v>83413.8</v>
      </c>
      <c r="G52" s="71">
        <f t="shared" si="5"/>
        <v>3723.83</v>
      </c>
      <c r="H52" s="71">
        <f t="shared" si="3"/>
        <v>87137.63</v>
      </c>
      <c r="I52" s="72">
        <f t="shared" si="1"/>
        <v>6099634.2199999988</v>
      </c>
      <c r="J52" s="53"/>
      <c r="K52" s="33"/>
      <c r="L52" s="38"/>
      <c r="M52" s="39"/>
      <c r="N52" s="33"/>
      <c r="O52" s="33"/>
      <c r="P52" s="33"/>
      <c r="Q52" s="33"/>
      <c r="R52" s="33"/>
      <c r="S52" s="33"/>
    </row>
    <row r="53" spans="2:19" x14ac:dyDescent="0.2">
      <c r="B53" s="290">
        <f t="shared" si="0"/>
        <v>28</v>
      </c>
      <c r="C53" s="265"/>
      <c r="D53" s="70">
        <f t="shared" ca="1" si="2"/>
        <v>46212</v>
      </c>
      <c r="E53" s="134" t="s">
        <v>121</v>
      </c>
      <c r="F53" s="71">
        <f t="shared" si="4"/>
        <v>83413.8</v>
      </c>
      <c r="G53" s="71">
        <f t="shared" si="5"/>
        <v>3723.83</v>
      </c>
      <c r="H53" s="71">
        <f t="shared" si="3"/>
        <v>87137.63</v>
      </c>
      <c r="I53" s="72">
        <f t="shared" si="1"/>
        <v>6012496.5899999989</v>
      </c>
      <c r="J53" s="53"/>
      <c r="K53" s="33"/>
      <c r="L53" s="38"/>
      <c r="M53" s="39"/>
      <c r="N53" s="33"/>
      <c r="O53" s="33"/>
      <c r="P53" s="33"/>
      <c r="Q53" s="33"/>
      <c r="R53" s="33"/>
      <c r="S53" s="33"/>
    </row>
    <row r="54" spans="2:19" x14ac:dyDescent="0.2">
      <c r="B54" s="290">
        <f t="shared" si="0"/>
        <v>29</v>
      </c>
      <c r="C54" s="265"/>
      <c r="D54" s="70">
        <f t="shared" ca="1" si="2"/>
        <v>46243</v>
      </c>
      <c r="E54" s="134" t="s">
        <v>122</v>
      </c>
      <c r="F54" s="71">
        <f t="shared" si="4"/>
        <v>83413.8</v>
      </c>
      <c r="G54" s="71">
        <f t="shared" si="5"/>
        <v>3723.83</v>
      </c>
      <c r="H54" s="71">
        <f t="shared" si="3"/>
        <v>87137.63</v>
      </c>
      <c r="I54" s="72">
        <f t="shared" si="1"/>
        <v>5925358.959999999</v>
      </c>
      <c r="J54" s="53"/>
      <c r="K54" s="33"/>
      <c r="L54" s="38"/>
      <c r="M54" s="39"/>
      <c r="N54" s="33"/>
      <c r="O54" s="33"/>
      <c r="P54" s="33"/>
      <c r="Q54" s="33"/>
      <c r="R54" s="33"/>
      <c r="S54" s="33"/>
    </row>
    <row r="55" spans="2:19" x14ac:dyDescent="0.2">
      <c r="B55" s="290">
        <f t="shared" si="0"/>
        <v>30</v>
      </c>
      <c r="C55" s="265"/>
      <c r="D55" s="70">
        <f t="shared" ca="1" si="2"/>
        <v>46274</v>
      </c>
      <c r="E55" s="134" t="s">
        <v>123</v>
      </c>
      <c r="F55" s="71">
        <f t="shared" si="4"/>
        <v>83413.8</v>
      </c>
      <c r="G55" s="71">
        <f t="shared" si="5"/>
        <v>3723.83</v>
      </c>
      <c r="H55" s="71">
        <f t="shared" si="3"/>
        <v>87137.63</v>
      </c>
      <c r="I55" s="72">
        <f t="shared" si="1"/>
        <v>5838221.3299999991</v>
      </c>
      <c r="J55" s="53"/>
      <c r="K55" s="33"/>
      <c r="L55" s="38"/>
      <c r="M55" s="39"/>
      <c r="N55" s="33"/>
      <c r="O55" s="33"/>
      <c r="P55" s="33"/>
      <c r="Q55" s="33"/>
      <c r="R55" s="33"/>
      <c r="S55" s="33"/>
    </row>
    <row r="56" spans="2:19" x14ac:dyDescent="0.2">
      <c r="B56" s="290">
        <f t="shared" si="0"/>
        <v>31</v>
      </c>
      <c r="C56" s="265"/>
      <c r="D56" s="70">
        <f t="shared" ca="1" si="2"/>
        <v>46304</v>
      </c>
      <c r="E56" s="134" t="s">
        <v>124</v>
      </c>
      <c r="F56" s="71">
        <f t="shared" si="4"/>
        <v>83413.8</v>
      </c>
      <c r="G56" s="71">
        <f t="shared" si="5"/>
        <v>3723.83</v>
      </c>
      <c r="H56" s="71">
        <f t="shared" si="3"/>
        <v>87137.63</v>
      </c>
      <c r="I56" s="72">
        <f t="shared" si="1"/>
        <v>5751083.6999999993</v>
      </c>
      <c r="J56" s="53"/>
      <c r="K56" s="33"/>
      <c r="L56" s="38"/>
      <c r="M56" s="39"/>
      <c r="N56" s="33"/>
      <c r="O56" s="33"/>
      <c r="P56" s="33"/>
      <c r="Q56" s="33"/>
      <c r="R56" s="33"/>
      <c r="S56" s="33"/>
    </row>
    <row r="57" spans="2:19" x14ac:dyDescent="0.2">
      <c r="B57" s="290">
        <f t="shared" si="0"/>
        <v>32</v>
      </c>
      <c r="C57" s="265"/>
      <c r="D57" s="70">
        <f t="shared" ca="1" si="2"/>
        <v>46335</v>
      </c>
      <c r="E57" s="134" t="s">
        <v>125</v>
      </c>
      <c r="F57" s="71">
        <f t="shared" si="4"/>
        <v>83413.8</v>
      </c>
      <c r="G57" s="71">
        <f t="shared" si="5"/>
        <v>3723.83</v>
      </c>
      <c r="H57" s="71">
        <f t="shared" si="3"/>
        <v>87137.63</v>
      </c>
      <c r="I57" s="72">
        <f t="shared" si="1"/>
        <v>5663946.0699999994</v>
      </c>
      <c r="J57" s="53"/>
      <c r="K57" s="33"/>
      <c r="L57" s="38"/>
      <c r="M57" s="39"/>
      <c r="N57" s="33"/>
      <c r="O57" s="33"/>
      <c r="P57" s="33"/>
      <c r="Q57" s="33"/>
      <c r="R57" s="33"/>
      <c r="S57" s="33"/>
    </row>
    <row r="58" spans="2:19" x14ac:dyDescent="0.2">
      <c r="B58" s="290">
        <f t="shared" si="0"/>
        <v>33</v>
      </c>
      <c r="C58" s="265"/>
      <c r="D58" s="70">
        <f t="shared" ca="1" si="2"/>
        <v>46365</v>
      </c>
      <c r="E58" s="134" t="s">
        <v>126</v>
      </c>
      <c r="F58" s="71">
        <f t="shared" si="4"/>
        <v>83413.8</v>
      </c>
      <c r="G58" s="71">
        <f t="shared" si="5"/>
        <v>3723.83</v>
      </c>
      <c r="H58" s="71">
        <f t="shared" si="3"/>
        <v>87137.63</v>
      </c>
      <c r="I58" s="72">
        <f t="shared" si="1"/>
        <v>5576808.4399999995</v>
      </c>
      <c r="J58" s="53"/>
      <c r="K58" s="33"/>
      <c r="L58" s="38"/>
      <c r="M58" s="39"/>
      <c r="N58" s="33"/>
      <c r="O58" s="33"/>
      <c r="P58" s="33"/>
      <c r="Q58" s="33"/>
      <c r="R58" s="33"/>
      <c r="S58" s="33"/>
    </row>
    <row r="59" spans="2:19" x14ac:dyDescent="0.2">
      <c r="B59" s="290">
        <f t="shared" si="0"/>
        <v>34</v>
      </c>
      <c r="C59" s="265"/>
      <c r="D59" s="70">
        <f t="shared" ca="1" si="2"/>
        <v>46396</v>
      </c>
      <c r="E59" s="134" t="s">
        <v>127</v>
      </c>
      <c r="F59" s="71">
        <f t="shared" si="4"/>
        <v>83413.8</v>
      </c>
      <c r="G59" s="71">
        <f t="shared" si="5"/>
        <v>3723.83</v>
      </c>
      <c r="H59" s="71">
        <f t="shared" si="3"/>
        <v>87137.63</v>
      </c>
      <c r="I59" s="72">
        <f t="shared" si="1"/>
        <v>5489670.8099999996</v>
      </c>
      <c r="J59" s="53"/>
      <c r="K59" s="33"/>
      <c r="L59" s="38"/>
      <c r="M59" s="39"/>
      <c r="N59" s="33"/>
      <c r="O59" s="33"/>
      <c r="P59" s="33"/>
      <c r="Q59" s="33"/>
      <c r="R59" s="33"/>
      <c r="S59" s="33"/>
    </row>
    <row r="60" spans="2:19" x14ac:dyDescent="0.2">
      <c r="B60" s="290">
        <f t="shared" si="0"/>
        <v>35</v>
      </c>
      <c r="C60" s="265"/>
      <c r="D60" s="70">
        <f t="shared" ca="1" si="2"/>
        <v>46427</v>
      </c>
      <c r="E60" s="134" t="s">
        <v>128</v>
      </c>
      <c r="F60" s="71">
        <f t="shared" si="4"/>
        <v>83413.8</v>
      </c>
      <c r="G60" s="71">
        <f t="shared" si="5"/>
        <v>3723.83</v>
      </c>
      <c r="H60" s="71">
        <f t="shared" si="3"/>
        <v>87137.63</v>
      </c>
      <c r="I60" s="72">
        <f t="shared" si="1"/>
        <v>5402533.1799999997</v>
      </c>
      <c r="J60" s="53"/>
      <c r="K60" s="33"/>
      <c r="L60" s="38"/>
      <c r="M60" s="39"/>
      <c r="N60" s="33"/>
      <c r="O60" s="33"/>
      <c r="P60" s="33"/>
      <c r="Q60" s="33"/>
      <c r="R60" s="33"/>
      <c r="S60" s="33"/>
    </row>
    <row r="61" spans="2:19" x14ac:dyDescent="0.2">
      <c r="B61" s="290">
        <f t="shared" si="0"/>
        <v>36</v>
      </c>
      <c r="C61" s="265"/>
      <c r="D61" s="70">
        <f t="shared" ca="1" si="2"/>
        <v>46455</v>
      </c>
      <c r="E61" s="134" t="s">
        <v>129</v>
      </c>
      <c r="F61" s="71">
        <f t="shared" si="4"/>
        <v>83413.8</v>
      </c>
      <c r="G61" s="71">
        <f t="shared" si="5"/>
        <v>3723.83</v>
      </c>
      <c r="H61" s="71">
        <f t="shared" si="3"/>
        <v>87137.63</v>
      </c>
      <c r="I61" s="72">
        <f t="shared" si="1"/>
        <v>5315395.55</v>
      </c>
      <c r="J61" s="53"/>
      <c r="K61" s="33"/>
      <c r="L61" s="38"/>
      <c r="M61" s="39"/>
      <c r="N61" s="33"/>
      <c r="O61" s="33"/>
      <c r="P61" s="33"/>
      <c r="Q61" s="33"/>
      <c r="R61" s="33"/>
      <c r="S61" s="33"/>
    </row>
    <row r="62" spans="2:19" x14ac:dyDescent="0.2">
      <c r="B62" s="290">
        <f t="shared" si="0"/>
        <v>37</v>
      </c>
      <c r="C62" s="265"/>
      <c r="D62" s="70">
        <f t="shared" ca="1" si="2"/>
        <v>46486</v>
      </c>
      <c r="E62" s="134" t="s">
        <v>130</v>
      </c>
      <c r="F62" s="71">
        <f t="shared" si="4"/>
        <v>83413.8</v>
      </c>
      <c r="G62" s="71">
        <f t="shared" si="5"/>
        <v>3723.83</v>
      </c>
      <c r="H62" s="71">
        <f t="shared" si="3"/>
        <v>87137.63</v>
      </c>
      <c r="I62" s="72">
        <f t="shared" si="1"/>
        <v>5228257.92</v>
      </c>
      <c r="J62" s="53"/>
      <c r="K62" s="33"/>
      <c r="L62" s="38"/>
      <c r="M62" s="39"/>
      <c r="N62" s="33"/>
      <c r="O62" s="33"/>
      <c r="P62" s="33"/>
      <c r="Q62" s="33"/>
      <c r="R62" s="33"/>
      <c r="S62" s="33"/>
    </row>
    <row r="63" spans="2:19" x14ac:dyDescent="0.2">
      <c r="B63" s="290">
        <f t="shared" si="0"/>
        <v>38</v>
      </c>
      <c r="C63" s="265"/>
      <c r="D63" s="70">
        <f t="shared" ca="1" si="2"/>
        <v>46516</v>
      </c>
      <c r="E63" s="134" t="s">
        <v>131</v>
      </c>
      <c r="F63" s="71">
        <f t="shared" si="4"/>
        <v>83413.8</v>
      </c>
      <c r="G63" s="71">
        <f t="shared" si="5"/>
        <v>3723.83</v>
      </c>
      <c r="H63" s="71">
        <f t="shared" si="3"/>
        <v>87137.63</v>
      </c>
      <c r="I63" s="72">
        <f t="shared" si="1"/>
        <v>5141120.29</v>
      </c>
      <c r="J63" s="53"/>
      <c r="K63" s="33"/>
      <c r="L63" s="38"/>
      <c r="M63" s="39"/>
      <c r="N63" s="33"/>
      <c r="O63" s="33"/>
      <c r="P63" s="33"/>
      <c r="Q63" s="33"/>
      <c r="R63" s="33"/>
      <c r="S63" s="33"/>
    </row>
    <row r="64" spans="2:19" x14ac:dyDescent="0.2">
      <c r="B64" s="290">
        <f t="shared" si="0"/>
        <v>39</v>
      </c>
      <c r="C64" s="265"/>
      <c r="D64" s="70">
        <f t="shared" ca="1" si="2"/>
        <v>46547</v>
      </c>
      <c r="E64" s="134" t="s">
        <v>132</v>
      </c>
      <c r="F64" s="71">
        <f t="shared" si="4"/>
        <v>83413.8</v>
      </c>
      <c r="G64" s="71">
        <f t="shared" si="5"/>
        <v>3723.83</v>
      </c>
      <c r="H64" s="71">
        <f t="shared" si="3"/>
        <v>87137.63</v>
      </c>
      <c r="I64" s="72">
        <f t="shared" si="1"/>
        <v>5053982.66</v>
      </c>
      <c r="J64" s="53"/>
      <c r="K64" s="33"/>
      <c r="L64" s="38"/>
      <c r="M64" s="39"/>
      <c r="N64" s="33"/>
      <c r="O64" s="33"/>
      <c r="P64" s="33"/>
      <c r="Q64" s="33"/>
      <c r="R64" s="33"/>
      <c r="S64" s="33"/>
    </row>
    <row r="65" spans="2:28" x14ac:dyDescent="0.2">
      <c r="B65" s="290">
        <f t="shared" si="0"/>
        <v>40</v>
      </c>
      <c r="C65" s="265"/>
      <c r="D65" s="70">
        <f t="shared" ca="1" si="2"/>
        <v>46577</v>
      </c>
      <c r="E65" s="134" t="s">
        <v>133</v>
      </c>
      <c r="F65" s="71">
        <f t="shared" si="4"/>
        <v>83413.8</v>
      </c>
      <c r="G65" s="71">
        <f t="shared" si="5"/>
        <v>3723.83</v>
      </c>
      <c r="H65" s="71">
        <f t="shared" si="3"/>
        <v>87137.63</v>
      </c>
      <c r="I65" s="72">
        <f t="shared" si="1"/>
        <v>4966845.03</v>
      </c>
      <c r="J65" s="53"/>
      <c r="K65" s="33"/>
      <c r="L65" s="38"/>
      <c r="M65" s="39"/>
      <c r="N65" s="33"/>
      <c r="O65" s="33"/>
      <c r="P65" s="33"/>
      <c r="Q65" s="33"/>
      <c r="R65" s="33"/>
      <c r="S65" s="33"/>
    </row>
    <row r="66" spans="2:28" x14ac:dyDescent="0.2">
      <c r="B66" s="290">
        <f t="shared" si="0"/>
        <v>41</v>
      </c>
      <c r="C66" s="265"/>
      <c r="D66" s="70">
        <f t="shared" ca="1" si="2"/>
        <v>46608</v>
      </c>
      <c r="E66" s="134" t="s">
        <v>134</v>
      </c>
      <c r="F66" s="71">
        <f t="shared" si="4"/>
        <v>83413.8</v>
      </c>
      <c r="G66" s="71">
        <f>G65</f>
        <v>3723.83</v>
      </c>
      <c r="H66" s="71">
        <f t="shared" si="3"/>
        <v>87137.63</v>
      </c>
      <c r="I66" s="72">
        <f t="shared" si="1"/>
        <v>4879707.4000000004</v>
      </c>
      <c r="J66" s="53"/>
      <c r="K66" s="33"/>
      <c r="L66" s="38"/>
      <c r="M66" s="39"/>
      <c r="N66" s="33"/>
      <c r="O66" s="33"/>
      <c r="P66" s="33"/>
      <c r="Q66" s="33"/>
      <c r="R66" s="33"/>
      <c r="S66" s="33"/>
    </row>
    <row r="67" spans="2:28" x14ac:dyDescent="0.2">
      <c r="B67" s="290">
        <f t="shared" si="0"/>
        <v>42</v>
      </c>
      <c r="C67" s="265"/>
      <c r="D67" s="70">
        <f t="shared" ca="1" si="2"/>
        <v>46639</v>
      </c>
      <c r="E67" s="175" t="s">
        <v>135</v>
      </c>
      <c r="F67" s="71">
        <f t="shared" si="4"/>
        <v>83413.8</v>
      </c>
      <c r="G67" s="71">
        <f t="shared" si="4"/>
        <v>3723.83</v>
      </c>
      <c r="H67" s="71">
        <f t="shared" ref="H67:H74" si="6">SUM(F67:G67)</f>
        <v>87137.63</v>
      </c>
      <c r="I67" s="72">
        <f t="shared" ref="I67:I75" si="7">I66-H67</f>
        <v>4792569.7700000005</v>
      </c>
      <c r="J67" s="53"/>
      <c r="K67" s="33"/>
      <c r="L67" s="38"/>
      <c r="M67" s="39"/>
      <c r="N67" s="33"/>
      <c r="O67" s="33"/>
      <c r="P67" s="33"/>
      <c r="Q67" s="33"/>
      <c r="R67" s="33"/>
      <c r="S67" s="33"/>
    </row>
    <row r="68" spans="2:28" x14ac:dyDescent="0.2">
      <c r="B68" s="290">
        <f t="shared" si="0"/>
        <v>43</v>
      </c>
      <c r="C68" s="265"/>
      <c r="D68" s="70">
        <f t="shared" ca="1" si="2"/>
        <v>46669</v>
      </c>
      <c r="E68" s="175" t="s">
        <v>136</v>
      </c>
      <c r="F68" s="71">
        <f t="shared" ref="F68:G74" si="8">F67</f>
        <v>83413.8</v>
      </c>
      <c r="G68" s="71">
        <f t="shared" si="8"/>
        <v>3723.83</v>
      </c>
      <c r="H68" s="71">
        <f t="shared" si="6"/>
        <v>87137.63</v>
      </c>
      <c r="I68" s="72">
        <f t="shared" si="7"/>
        <v>4705432.1400000006</v>
      </c>
      <c r="J68" s="53"/>
      <c r="K68" s="33"/>
      <c r="L68" s="38"/>
      <c r="M68" s="39"/>
      <c r="N68" s="33"/>
      <c r="O68" s="33"/>
      <c r="P68" s="33"/>
      <c r="Q68" s="33"/>
      <c r="R68" s="33"/>
      <c r="S68" s="33"/>
    </row>
    <row r="69" spans="2:28" x14ac:dyDescent="0.2">
      <c r="B69" s="290">
        <f t="shared" si="0"/>
        <v>44</v>
      </c>
      <c r="C69" s="265"/>
      <c r="D69" s="70">
        <f t="shared" ca="1" si="2"/>
        <v>46700</v>
      </c>
      <c r="E69" s="175" t="s">
        <v>137</v>
      </c>
      <c r="F69" s="71">
        <f t="shared" si="8"/>
        <v>83413.8</v>
      </c>
      <c r="G69" s="71">
        <f t="shared" si="8"/>
        <v>3723.83</v>
      </c>
      <c r="H69" s="71">
        <f t="shared" si="6"/>
        <v>87137.63</v>
      </c>
      <c r="I69" s="72">
        <f t="shared" si="7"/>
        <v>4618294.5100000007</v>
      </c>
      <c r="J69" s="53"/>
      <c r="K69" s="33"/>
      <c r="L69" s="38"/>
      <c r="M69" s="39"/>
      <c r="N69" s="33"/>
      <c r="O69" s="33"/>
      <c r="P69" s="33"/>
      <c r="Q69" s="33"/>
      <c r="R69" s="33"/>
      <c r="S69" s="33"/>
    </row>
    <row r="70" spans="2:28" x14ac:dyDescent="0.2">
      <c r="B70" s="290">
        <f t="shared" si="0"/>
        <v>45</v>
      </c>
      <c r="C70" s="265"/>
      <c r="D70" s="70">
        <f t="shared" ca="1" si="2"/>
        <v>46730</v>
      </c>
      <c r="E70" s="175" t="s">
        <v>138</v>
      </c>
      <c r="F70" s="71">
        <f t="shared" si="8"/>
        <v>83413.8</v>
      </c>
      <c r="G70" s="71">
        <f t="shared" si="8"/>
        <v>3723.83</v>
      </c>
      <c r="H70" s="71">
        <f t="shared" si="6"/>
        <v>87137.63</v>
      </c>
      <c r="I70" s="72">
        <f t="shared" si="7"/>
        <v>4531156.8800000008</v>
      </c>
      <c r="J70" s="53"/>
      <c r="K70" s="33"/>
      <c r="L70" s="38"/>
      <c r="M70" s="39"/>
      <c r="N70" s="33"/>
      <c r="O70" s="33"/>
      <c r="P70" s="33"/>
      <c r="Q70" s="33"/>
      <c r="R70" s="33"/>
      <c r="S70" s="33"/>
    </row>
    <row r="71" spans="2:28" x14ac:dyDescent="0.2">
      <c r="B71" s="290">
        <f t="shared" si="0"/>
        <v>46</v>
      </c>
      <c r="C71" s="265"/>
      <c r="D71" s="70">
        <f t="shared" ca="1" si="2"/>
        <v>46761</v>
      </c>
      <c r="E71" s="175" t="s">
        <v>139</v>
      </c>
      <c r="F71" s="71">
        <f t="shared" si="8"/>
        <v>83413.8</v>
      </c>
      <c r="G71" s="71">
        <f t="shared" si="8"/>
        <v>3723.83</v>
      </c>
      <c r="H71" s="71">
        <f t="shared" si="6"/>
        <v>87137.63</v>
      </c>
      <c r="I71" s="72">
        <f t="shared" si="7"/>
        <v>4444019.2500000009</v>
      </c>
      <c r="J71" s="53"/>
      <c r="K71" s="33"/>
      <c r="L71" s="38"/>
      <c r="M71" s="39"/>
      <c r="N71" s="33"/>
      <c r="O71" s="33"/>
      <c r="P71" s="33"/>
      <c r="Q71" s="33"/>
      <c r="R71" s="33"/>
      <c r="S71" s="33"/>
    </row>
    <row r="72" spans="2:28" x14ac:dyDescent="0.2">
      <c r="B72" s="290">
        <f t="shared" si="0"/>
        <v>47</v>
      </c>
      <c r="C72" s="265"/>
      <c r="D72" s="70">
        <f t="shared" ca="1" si="2"/>
        <v>46792</v>
      </c>
      <c r="E72" s="175" t="s">
        <v>140</v>
      </c>
      <c r="F72" s="71">
        <f t="shared" si="8"/>
        <v>83413.8</v>
      </c>
      <c r="G72" s="71">
        <f t="shared" si="8"/>
        <v>3723.83</v>
      </c>
      <c r="H72" s="71">
        <f t="shared" si="6"/>
        <v>87137.63</v>
      </c>
      <c r="I72" s="72">
        <f t="shared" si="7"/>
        <v>4356881.620000001</v>
      </c>
      <c r="J72" s="53"/>
      <c r="K72" s="33"/>
      <c r="L72" s="38"/>
      <c r="M72" s="39"/>
      <c r="N72" s="33"/>
      <c r="O72" s="33"/>
      <c r="P72" s="33"/>
      <c r="Q72" s="33"/>
      <c r="R72" s="33"/>
      <c r="S72" s="33"/>
    </row>
    <row r="73" spans="2:28" x14ac:dyDescent="0.2">
      <c r="B73" s="290">
        <f t="shared" si="0"/>
        <v>48</v>
      </c>
      <c r="C73" s="265"/>
      <c r="D73" s="70">
        <f t="shared" ca="1" si="2"/>
        <v>46821</v>
      </c>
      <c r="E73" s="175" t="s">
        <v>141</v>
      </c>
      <c r="F73" s="71">
        <f t="shared" si="8"/>
        <v>83413.8</v>
      </c>
      <c r="G73" s="71">
        <f t="shared" si="8"/>
        <v>3723.83</v>
      </c>
      <c r="H73" s="71">
        <f t="shared" si="6"/>
        <v>87137.63</v>
      </c>
      <c r="I73" s="72">
        <f t="shared" si="7"/>
        <v>4269743.9900000012</v>
      </c>
      <c r="J73" s="53"/>
      <c r="K73" s="33"/>
      <c r="L73" s="38"/>
      <c r="M73" s="39"/>
      <c r="N73" s="33"/>
      <c r="O73" s="33"/>
      <c r="P73" s="33"/>
      <c r="Q73" s="33"/>
      <c r="R73" s="33"/>
      <c r="S73" s="33"/>
    </row>
    <row r="74" spans="2:28" x14ac:dyDescent="0.2">
      <c r="B74" s="290">
        <f t="shared" si="0"/>
        <v>49</v>
      </c>
      <c r="C74" s="265"/>
      <c r="D74" s="70">
        <f t="shared" ca="1" si="2"/>
        <v>46852</v>
      </c>
      <c r="E74" s="175" t="s">
        <v>142</v>
      </c>
      <c r="F74" s="71">
        <f t="shared" si="8"/>
        <v>83413.8</v>
      </c>
      <c r="G74" s="71">
        <f t="shared" si="8"/>
        <v>3723.83</v>
      </c>
      <c r="H74" s="71">
        <f t="shared" si="6"/>
        <v>87137.63</v>
      </c>
      <c r="I74" s="72">
        <f t="shared" si="7"/>
        <v>4182606.3600000013</v>
      </c>
      <c r="J74" s="53"/>
      <c r="K74" s="33"/>
      <c r="L74" s="38"/>
      <c r="M74" s="39"/>
      <c r="N74" s="33"/>
      <c r="O74" s="33"/>
      <c r="P74" s="33"/>
      <c r="Q74" s="33"/>
      <c r="R74" s="33"/>
      <c r="S74" s="33"/>
    </row>
    <row r="75" spans="2:28" ht="15.75" thickBot="1" x14ac:dyDescent="0.25">
      <c r="B75" s="290">
        <f t="shared" si="0"/>
        <v>50</v>
      </c>
      <c r="C75" s="265"/>
      <c r="D75" s="70">
        <f t="shared" ca="1" si="2"/>
        <v>46882</v>
      </c>
      <c r="E75" s="140" t="s">
        <v>143</v>
      </c>
      <c r="F75" s="100">
        <f>ROUND((D21-D20)*25%,2)</f>
        <v>4003862.5</v>
      </c>
      <c r="G75" s="100">
        <f>ROUND((D20)*25%,2)</f>
        <v>178743.86</v>
      </c>
      <c r="H75" s="100">
        <f>SUM(F75:G75)</f>
        <v>4182606.36</v>
      </c>
      <c r="I75" s="72">
        <f t="shared" si="7"/>
        <v>0</v>
      </c>
      <c r="J75" s="53"/>
      <c r="K75" s="33"/>
      <c r="L75" s="38"/>
      <c r="M75" s="39"/>
      <c r="N75" s="33"/>
      <c r="O75" s="33"/>
      <c r="P75" s="33"/>
      <c r="Q75" s="33"/>
      <c r="R75" s="33"/>
      <c r="S75" s="33"/>
    </row>
    <row r="76" spans="2:28" ht="15.75" thickBot="1" x14ac:dyDescent="0.25">
      <c r="B76" s="54"/>
      <c r="C76" s="55"/>
      <c r="D76" s="56"/>
      <c r="E76" s="57" t="s">
        <v>81</v>
      </c>
      <c r="F76" s="121">
        <f>SUM(F24:F75)</f>
        <v>16015450.000000035</v>
      </c>
      <c r="G76" s="121">
        <f>SUM(G26:G75)</f>
        <v>714975.44642857206</v>
      </c>
      <c r="H76" s="58">
        <f>SUM(H24:H75)</f>
        <v>16730425.446428614</v>
      </c>
      <c r="I76" s="59"/>
      <c r="J76" s="33"/>
      <c r="K76" s="33"/>
      <c r="L76" s="38">
        <f>SUM(L24:L75)</f>
        <v>56000</v>
      </c>
      <c r="M76" s="39">
        <f>L76-H76</f>
        <v>-16674425.446428614</v>
      </c>
      <c r="N76" s="33"/>
      <c r="O76" s="33"/>
      <c r="P76" s="33"/>
      <c r="Q76" s="33"/>
      <c r="R76" s="33"/>
      <c r="S76" s="33"/>
    </row>
    <row r="77" spans="2:28" x14ac:dyDescent="0.2">
      <c r="D77" s="60"/>
      <c r="J77" s="33"/>
      <c r="K77" s="33"/>
      <c r="L77" s="38"/>
      <c r="M77" s="33"/>
      <c r="N77" s="33"/>
      <c r="O77" s="33"/>
      <c r="P77" s="33"/>
      <c r="Q77" s="33"/>
      <c r="R77" s="33"/>
      <c r="S77" s="33"/>
    </row>
    <row r="78" spans="2:28" x14ac:dyDescent="0.2">
      <c r="B78" s="62" t="s">
        <v>82</v>
      </c>
      <c r="C78" s="62"/>
      <c r="D78" s="60"/>
      <c r="J78" s="22"/>
      <c r="K78" s="22"/>
      <c r="L78" s="22"/>
      <c r="M78" s="33"/>
      <c r="N78" s="38"/>
      <c r="O78" s="33"/>
      <c r="P78" s="33"/>
      <c r="Q78" s="65"/>
      <c r="R78" s="65"/>
      <c r="S78" s="22"/>
      <c r="T78" s="22"/>
      <c r="U78" s="22"/>
      <c r="V78" s="22"/>
      <c r="W78" s="22"/>
      <c r="X78" s="22"/>
      <c r="Y78" s="22"/>
      <c r="Z78" s="22"/>
      <c r="AA78" s="22"/>
      <c r="AB78" s="22"/>
    </row>
    <row r="79" spans="2:28" ht="15" customHeight="1" x14ac:dyDescent="0.2">
      <c r="B79" s="261" t="s">
        <v>266</v>
      </c>
      <c r="C79" s="261"/>
      <c r="D79" s="261"/>
      <c r="E79" s="261"/>
      <c r="F79" s="261"/>
      <c r="G79" s="261"/>
      <c r="H79" s="261"/>
      <c r="I79" s="261"/>
      <c r="J79" s="111"/>
      <c r="K79" s="111"/>
      <c r="L79" s="22"/>
      <c r="M79" s="33"/>
      <c r="N79" s="33"/>
      <c r="O79" s="33"/>
      <c r="P79" s="33"/>
      <c r="Q79" s="65"/>
      <c r="R79" s="65"/>
      <c r="S79" s="22"/>
      <c r="T79" s="22"/>
      <c r="U79" s="22"/>
      <c r="V79" s="22"/>
      <c r="W79" s="22"/>
      <c r="X79" s="22"/>
      <c r="Y79" s="22"/>
      <c r="Z79" s="22"/>
      <c r="AA79" s="22"/>
      <c r="AB79" s="22"/>
    </row>
    <row r="80" spans="2:28" ht="15" customHeight="1" x14ac:dyDescent="0.2">
      <c r="B80" s="261"/>
      <c r="C80" s="261"/>
      <c r="D80" s="261"/>
      <c r="E80" s="261"/>
      <c r="F80" s="261"/>
      <c r="G80" s="261"/>
      <c r="H80" s="261"/>
      <c r="I80" s="261"/>
      <c r="J80" s="260"/>
      <c r="K80" s="260"/>
      <c r="L80" s="22"/>
      <c r="M80" s="33"/>
      <c r="N80" s="33"/>
      <c r="O80" s="33"/>
      <c r="P80" s="33"/>
      <c r="Q80" s="65"/>
      <c r="R80" s="65"/>
      <c r="S80" s="22"/>
      <c r="T80" s="22"/>
      <c r="U80" s="22"/>
      <c r="V80" s="22"/>
      <c r="W80" s="22"/>
      <c r="X80" s="22"/>
      <c r="Y80" s="22"/>
      <c r="Z80" s="22"/>
      <c r="AA80" s="22"/>
      <c r="AB80" s="22"/>
    </row>
    <row r="81" spans="1:28" ht="15" customHeight="1" x14ac:dyDescent="0.2">
      <c r="B81" s="261"/>
      <c r="C81" s="261"/>
      <c r="D81" s="261"/>
      <c r="E81" s="261"/>
      <c r="F81" s="261"/>
      <c r="G81" s="261"/>
      <c r="H81" s="261"/>
      <c r="I81" s="261"/>
      <c r="J81" s="260"/>
      <c r="K81" s="260"/>
      <c r="L81" s="22"/>
      <c r="M81" s="33"/>
      <c r="N81" s="33"/>
      <c r="O81" s="33"/>
      <c r="P81" s="33"/>
      <c r="Q81" s="65"/>
      <c r="R81" s="65"/>
      <c r="S81" s="22"/>
      <c r="T81" s="22"/>
      <c r="U81" s="22"/>
      <c r="V81" s="22"/>
      <c r="W81" s="22"/>
      <c r="X81" s="22"/>
      <c r="Y81" s="22"/>
      <c r="Z81" s="22"/>
      <c r="AA81" s="22"/>
      <c r="AB81" s="22"/>
    </row>
    <row r="82" spans="1:28" x14ac:dyDescent="0.2">
      <c r="B82" s="261"/>
      <c r="C82" s="261"/>
      <c r="D82" s="261"/>
      <c r="E82" s="261"/>
      <c r="F82" s="261"/>
      <c r="G82" s="261"/>
      <c r="H82" s="261"/>
      <c r="I82" s="261"/>
      <c r="J82" s="260"/>
      <c r="K82" s="260"/>
      <c r="L82" s="22"/>
      <c r="M82" s="33"/>
      <c r="N82" s="33"/>
      <c r="O82" s="33"/>
      <c r="P82" s="33"/>
      <c r="Q82" s="65"/>
      <c r="R82" s="65"/>
      <c r="S82" s="22"/>
      <c r="T82" s="22"/>
      <c r="U82" s="22"/>
      <c r="V82" s="22"/>
      <c r="W82" s="22"/>
      <c r="X82" s="22"/>
      <c r="Y82" s="22"/>
      <c r="Z82" s="22"/>
      <c r="AA82" s="22"/>
      <c r="AB82" s="22"/>
    </row>
    <row r="83" spans="1:28" ht="58.5" customHeight="1" x14ac:dyDescent="0.2">
      <c r="B83" s="261"/>
      <c r="C83" s="261"/>
      <c r="D83" s="261"/>
      <c r="E83" s="261"/>
      <c r="F83" s="261"/>
      <c r="G83" s="261"/>
      <c r="H83" s="261"/>
      <c r="I83" s="261"/>
      <c r="J83" s="260"/>
      <c r="K83" s="260"/>
      <c r="L83" s="22"/>
      <c r="M83" s="33"/>
      <c r="N83" s="33"/>
      <c r="O83" s="33"/>
      <c r="P83" s="33"/>
      <c r="Q83" s="65"/>
      <c r="R83" s="65"/>
      <c r="S83" s="22"/>
      <c r="T83" s="22"/>
      <c r="U83" s="22"/>
      <c r="V83" s="22"/>
      <c r="W83" s="22"/>
      <c r="X83" s="22"/>
      <c r="Y83" s="22"/>
      <c r="Z83" s="22"/>
      <c r="AA83" s="22"/>
      <c r="AB83" s="22"/>
    </row>
    <row r="84" spans="1:28" ht="6.75" hidden="1" customHeight="1" x14ac:dyDescent="0.2">
      <c r="B84" s="261"/>
      <c r="C84" s="261"/>
      <c r="D84" s="261"/>
      <c r="E84" s="261"/>
      <c r="F84" s="261"/>
      <c r="G84" s="261"/>
      <c r="H84" s="261"/>
      <c r="I84" s="261"/>
      <c r="J84" s="260"/>
      <c r="K84" s="260"/>
      <c r="L84" s="22"/>
      <c r="M84" s="33"/>
      <c r="N84" s="33"/>
      <c r="O84" s="33"/>
      <c r="P84" s="33"/>
      <c r="Q84" s="65"/>
      <c r="R84" s="65"/>
      <c r="S84" s="22"/>
      <c r="T84" s="22"/>
      <c r="U84" s="22"/>
      <c r="V84" s="22"/>
      <c r="W84" s="22"/>
      <c r="X84" s="22"/>
      <c r="Y84" s="22"/>
      <c r="Z84" s="22"/>
      <c r="AA84" s="22"/>
      <c r="AB84" s="22"/>
    </row>
    <row r="85" spans="1:28" ht="92.25" customHeight="1" x14ac:dyDescent="0.2">
      <c r="B85" s="261"/>
      <c r="C85" s="261"/>
      <c r="D85" s="261"/>
      <c r="E85" s="261"/>
      <c r="F85" s="261"/>
      <c r="G85" s="261"/>
      <c r="H85" s="261"/>
      <c r="I85" s="261"/>
      <c r="J85" s="260"/>
      <c r="K85" s="260"/>
      <c r="L85" s="22"/>
      <c r="M85" s="33"/>
      <c r="N85" s="33"/>
      <c r="O85" s="33"/>
      <c r="P85" s="33"/>
      <c r="Q85" s="65"/>
      <c r="R85" s="65"/>
      <c r="S85" s="22"/>
      <c r="T85" s="22"/>
      <c r="U85" s="22"/>
      <c r="V85" s="22"/>
      <c r="W85" s="22"/>
      <c r="X85" s="22"/>
      <c r="Y85" s="22"/>
      <c r="Z85" s="22"/>
      <c r="AA85" s="22"/>
      <c r="AB85" s="22"/>
    </row>
    <row r="86" spans="1:28" ht="30" customHeight="1" x14ac:dyDescent="0.2">
      <c r="B86" s="261"/>
      <c r="C86" s="261"/>
      <c r="D86" s="261"/>
      <c r="E86" s="261"/>
      <c r="F86" s="261"/>
      <c r="G86" s="261"/>
      <c r="H86" s="261"/>
      <c r="I86" s="261"/>
      <c r="J86" s="260"/>
      <c r="K86" s="260"/>
      <c r="L86" s="22"/>
      <c r="M86" s="33"/>
      <c r="N86" s="33"/>
      <c r="O86" s="33"/>
      <c r="P86" s="33"/>
      <c r="Q86" s="65"/>
      <c r="R86" s="65"/>
      <c r="S86" s="22"/>
      <c r="T86" s="22"/>
      <c r="U86" s="22"/>
      <c r="V86" s="22"/>
      <c r="W86" s="22"/>
      <c r="X86" s="22"/>
      <c r="Y86" s="22"/>
      <c r="Z86" s="22"/>
      <c r="AA86" s="22"/>
      <c r="AB86" s="22"/>
    </row>
    <row r="87" spans="1:28" ht="30" customHeight="1" x14ac:dyDescent="0.2">
      <c r="B87" s="261"/>
      <c r="C87" s="261"/>
      <c r="D87" s="261"/>
      <c r="E87" s="261"/>
      <c r="F87" s="261"/>
      <c r="G87" s="261"/>
      <c r="H87" s="261"/>
      <c r="I87" s="261"/>
      <c r="J87" s="260"/>
      <c r="K87" s="260"/>
      <c r="L87" s="22"/>
      <c r="M87" s="33"/>
      <c r="N87" s="33"/>
      <c r="O87" s="33"/>
      <c r="P87" s="33"/>
      <c r="Q87" s="65"/>
      <c r="R87" s="65"/>
      <c r="S87" s="22"/>
      <c r="T87" s="22"/>
      <c r="U87" s="22"/>
      <c r="V87" s="22"/>
      <c r="W87" s="22"/>
      <c r="X87" s="22"/>
      <c r="Y87" s="22"/>
      <c r="Z87" s="22"/>
      <c r="AA87" s="22"/>
      <c r="AB87" s="22"/>
    </row>
    <row r="88" spans="1:28" hidden="1" x14ac:dyDescent="0.2">
      <c r="B88" s="63"/>
      <c r="C88" s="63"/>
      <c r="J88" s="22"/>
      <c r="K88" s="22"/>
      <c r="L88" s="22"/>
      <c r="M88" s="33"/>
      <c r="N88" s="33"/>
      <c r="O88" s="33"/>
      <c r="P88" s="33"/>
      <c r="Q88" s="65"/>
      <c r="R88" s="65"/>
      <c r="S88" s="22"/>
      <c r="T88" s="22"/>
      <c r="U88" s="22"/>
      <c r="V88" s="22"/>
      <c r="W88" s="22"/>
      <c r="X88" s="22"/>
      <c r="Y88" s="22"/>
      <c r="Z88" s="22"/>
      <c r="AA88" s="22"/>
      <c r="AB88" s="22"/>
    </row>
    <row r="89" spans="1:28" hidden="1" x14ac:dyDescent="0.2">
      <c r="B89" s="64"/>
      <c r="C89" s="64"/>
      <c r="J89" s="22"/>
      <c r="K89" s="22"/>
      <c r="L89" s="22"/>
      <c r="M89" s="33"/>
      <c r="N89" s="33"/>
      <c r="O89" s="33"/>
      <c r="P89" s="33"/>
      <c r="Q89" s="65"/>
      <c r="R89" s="65"/>
      <c r="S89" s="22"/>
      <c r="T89" s="22"/>
      <c r="U89" s="22"/>
      <c r="V89" s="22"/>
      <c r="W89" s="22"/>
      <c r="X89" s="22"/>
      <c r="Y89" s="22"/>
      <c r="Z89" s="22"/>
      <c r="AA89" s="22"/>
      <c r="AB89" s="22"/>
    </row>
    <row r="90" spans="1:28" hidden="1" x14ac:dyDescent="0.2">
      <c r="B90" s="64"/>
      <c r="C90" s="64"/>
      <c r="J90" s="22"/>
      <c r="K90" s="22"/>
      <c r="L90" s="22"/>
      <c r="M90" s="33"/>
      <c r="N90" s="33"/>
      <c r="O90" s="33"/>
      <c r="P90" s="33"/>
      <c r="Q90" s="65"/>
      <c r="R90" s="65"/>
      <c r="S90" s="22"/>
      <c r="T90" s="22"/>
      <c r="U90" s="22"/>
      <c r="V90" s="22"/>
      <c r="W90" s="22"/>
      <c r="X90" s="22"/>
      <c r="Y90" s="22"/>
      <c r="Z90" s="22"/>
      <c r="AA90" s="22"/>
      <c r="AB90" s="22"/>
    </row>
    <row r="91" spans="1:28" hidden="1" x14ac:dyDescent="0.2">
      <c r="B91" s="64"/>
      <c r="C91" s="64"/>
      <c r="J91" s="22"/>
      <c r="K91" s="22"/>
      <c r="L91" s="22"/>
      <c r="M91" s="33"/>
      <c r="N91" s="33"/>
      <c r="O91" s="33"/>
      <c r="P91" s="33"/>
      <c r="Q91" s="65"/>
      <c r="R91" s="65"/>
      <c r="S91" s="22"/>
      <c r="T91" s="22"/>
      <c r="U91" s="22"/>
      <c r="V91" s="22"/>
      <c r="W91" s="22"/>
      <c r="X91" s="22"/>
      <c r="Y91" s="22"/>
      <c r="Z91" s="22"/>
      <c r="AA91" s="22"/>
      <c r="AB91" s="22"/>
    </row>
    <row r="92" spans="1:28" hidden="1" x14ac:dyDescent="0.2">
      <c r="B92" s="64"/>
      <c r="C92" s="64"/>
      <c r="J92" s="22"/>
      <c r="K92" s="22"/>
      <c r="L92" s="22"/>
      <c r="M92" s="33"/>
      <c r="N92" s="33"/>
      <c r="O92" s="33"/>
      <c r="P92" s="33"/>
      <c r="Q92" s="65"/>
      <c r="R92" s="65"/>
      <c r="S92" s="22"/>
      <c r="T92" s="22"/>
      <c r="U92" s="22"/>
      <c r="V92" s="22"/>
      <c r="W92" s="22"/>
      <c r="X92" s="22"/>
      <c r="Y92" s="22"/>
      <c r="Z92" s="22"/>
      <c r="AA92" s="22"/>
      <c r="AB92" s="22"/>
    </row>
    <row r="93" spans="1:28" s="65" customFormat="1" hidden="1" x14ac:dyDescent="0.2">
      <c r="A93" s="22"/>
      <c r="B93" s="64"/>
      <c r="C93" s="64"/>
      <c r="M93" s="33"/>
      <c r="N93" s="33"/>
      <c r="O93" s="33"/>
      <c r="P93" s="33"/>
    </row>
    <row r="94" spans="1:28" hidden="1" x14ac:dyDescent="0.2">
      <c r="J94" s="22"/>
      <c r="K94" s="22"/>
      <c r="L94" s="22"/>
      <c r="M94" s="33"/>
      <c r="N94" s="33"/>
      <c r="O94" s="33"/>
      <c r="P94" s="33"/>
      <c r="Q94" s="65"/>
      <c r="R94" s="65"/>
      <c r="S94" s="22"/>
      <c r="T94" s="22"/>
      <c r="U94" s="22"/>
      <c r="V94" s="22"/>
      <c r="W94" s="22"/>
      <c r="X94" s="22"/>
      <c r="Y94" s="22"/>
      <c r="Z94" s="22"/>
      <c r="AA94" s="22"/>
      <c r="AB94" s="22"/>
    </row>
    <row r="95" spans="1:28" x14ac:dyDescent="0.2">
      <c r="B95" s="66" t="s">
        <v>84</v>
      </c>
      <c r="C95" s="66"/>
      <c r="J95" s="22"/>
      <c r="K95" s="22"/>
      <c r="L95" s="22"/>
      <c r="M95" s="33"/>
      <c r="N95" s="33"/>
      <c r="O95" s="33"/>
      <c r="P95" s="33"/>
      <c r="Q95" s="65"/>
      <c r="R95" s="65"/>
      <c r="S95" s="22"/>
      <c r="T95" s="22"/>
      <c r="U95" s="22"/>
      <c r="V95" s="22"/>
      <c r="W95" s="22"/>
      <c r="X95" s="22"/>
      <c r="Y95" s="22"/>
      <c r="Z95" s="22"/>
      <c r="AA95" s="22"/>
      <c r="AB95" s="22"/>
    </row>
    <row r="96" spans="1:28" x14ac:dyDescent="0.2">
      <c r="J96" s="22"/>
      <c r="K96" s="22"/>
      <c r="L96" s="22"/>
      <c r="M96" s="33"/>
      <c r="N96" s="33"/>
      <c r="O96" s="33"/>
      <c r="P96" s="33"/>
      <c r="Q96" s="65"/>
      <c r="R96" s="65"/>
      <c r="S96" s="22"/>
      <c r="T96" s="22"/>
      <c r="U96" s="22"/>
      <c r="V96" s="22"/>
      <c r="W96" s="22"/>
      <c r="X96" s="22"/>
      <c r="Y96" s="22"/>
      <c r="Z96" s="22"/>
      <c r="AA96" s="22"/>
      <c r="AB96" s="22"/>
    </row>
    <row r="97" spans="2:30" x14ac:dyDescent="0.2">
      <c r="J97" s="22"/>
      <c r="K97" s="22"/>
      <c r="L97" s="22"/>
      <c r="M97" s="33"/>
      <c r="N97" s="33"/>
      <c r="O97" s="33"/>
      <c r="P97" s="33"/>
      <c r="Q97" s="65"/>
      <c r="R97" s="65"/>
      <c r="S97" s="22"/>
      <c r="T97" s="22"/>
      <c r="U97" s="22"/>
      <c r="V97" s="22"/>
      <c r="W97" s="22"/>
      <c r="X97" s="22"/>
      <c r="Y97" s="22"/>
      <c r="Z97" s="22"/>
      <c r="AA97" s="22"/>
      <c r="AB97" s="22"/>
    </row>
    <row r="98" spans="2:30" x14ac:dyDescent="0.2">
      <c r="B98" s="259" t="s">
        <v>85</v>
      </c>
      <c r="C98" s="259"/>
      <c r="D98" s="259"/>
      <c r="F98" s="259" t="s">
        <v>86</v>
      </c>
      <c r="G98" s="259"/>
      <c r="H98" s="259"/>
      <c r="I98" s="259"/>
      <c r="J98" s="259"/>
      <c r="K98" s="259"/>
      <c r="L98" s="22"/>
      <c r="M98" s="33"/>
      <c r="N98" s="33"/>
      <c r="O98" s="33"/>
      <c r="P98" s="33"/>
      <c r="Q98" s="65"/>
      <c r="R98" s="65"/>
      <c r="S98" s="22"/>
      <c r="T98" s="22"/>
      <c r="U98" s="22"/>
      <c r="V98" s="22"/>
      <c r="W98" s="22"/>
      <c r="X98" s="22"/>
      <c r="Y98" s="22"/>
      <c r="Z98" s="22"/>
      <c r="AA98" s="22"/>
      <c r="AB98" s="22"/>
    </row>
    <row r="99" spans="2:30" x14ac:dyDescent="0.2">
      <c r="J99" s="22"/>
      <c r="K99" s="22"/>
      <c r="L99" s="22"/>
      <c r="M99" s="33"/>
      <c r="N99" s="33"/>
      <c r="O99" s="33"/>
      <c r="P99" s="33"/>
      <c r="Q99" s="65"/>
      <c r="R99" s="65"/>
      <c r="S99" s="22"/>
      <c r="T99" s="22"/>
      <c r="U99" s="22"/>
      <c r="V99" s="22"/>
      <c r="W99" s="22"/>
      <c r="X99" s="22"/>
      <c r="Y99" s="22"/>
      <c r="Z99" s="22"/>
      <c r="AA99" s="22"/>
      <c r="AB99" s="22"/>
    </row>
    <row r="100" spans="2:30" x14ac:dyDescent="0.2">
      <c r="B100" s="67"/>
      <c r="C100" s="67"/>
      <c r="D100" s="67"/>
      <c r="E100" s="67"/>
      <c r="F100" s="67"/>
      <c r="G100" s="67"/>
      <c r="H100" s="67"/>
      <c r="I100" s="67"/>
      <c r="J100" s="67"/>
      <c r="K100" s="67"/>
      <c r="L100" s="33"/>
      <c r="M100" s="33"/>
      <c r="N100" s="33"/>
      <c r="O100" s="33"/>
      <c r="P100" s="33"/>
      <c r="Q100" s="65"/>
      <c r="R100" s="65"/>
      <c r="S100" s="33"/>
      <c r="T100" s="33"/>
      <c r="U100" s="33"/>
      <c r="AC100" s="31"/>
      <c r="AD100" s="31"/>
    </row>
    <row r="101" spans="2:30" x14ac:dyDescent="0.2">
      <c r="B101" s="67"/>
      <c r="C101" s="67"/>
      <c r="D101" s="67"/>
      <c r="E101" s="67"/>
      <c r="F101" s="67"/>
      <c r="G101" s="67"/>
      <c r="H101" s="67"/>
      <c r="I101" s="67"/>
      <c r="J101" s="33"/>
      <c r="K101" s="33"/>
      <c r="L101" s="33"/>
      <c r="M101" s="33"/>
      <c r="N101" s="33"/>
      <c r="O101" s="33"/>
      <c r="P101" s="33"/>
      <c r="Q101" s="33"/>
      <c r="R101" s="33"/>
      <c r="S101" s="33"/>
    </row>
    <row r="102" spans="2:30" x14ac:dyDescent="0.2">
      <c r="B102" s="67"/>
      <c r="C102" s="67"/>
      <c r="D102" s="67"/>
      <c r="E102" s="67"/>
      <c r="F102" s="67"/>
      <c r="G102" s="67"/>
      <c r="H102" s="67"/>
      <c r="I102" s="67"/>
      <c r="J102" s="33"/>
      <c r="K102" s="33"/>
      <c r="L102" s="33"/>
      <c r="M102" s="33"/>
      <c r="N102" s="33"/>
      <c r="O102" s="33"/>
      <c r="P102" s="33"/>
      <c r="Q102" s="33"/>
      <c r="R102" s="33"/>
      <c r="S102" s="33"/>
    </row>
    <row r="103" spans="2:30" x14ac:dyDescent="0.2">
      <c r="B103" s="67"/>
      <c r="C103" s="67"/>
      <c r="D103" s="67"/>
      <c r="E103" s="67"/>
      <c r="F103" s="67"/>
      <c r="G103" s="67"/>
      <c r="H103" s="67"/>
      <c r="I103" s="67"/>
      <c r="J103" s="33"/>
      <c r="K103" s="33"/>
      <c r="L103" s="33"/>
      <c r="M103" s="33"/>
      <c r="N103" s="33"/>
      <c r="O103" s="33"/>
      <c r="P103" s="33"/>
      <c r="Q103" s="33"/>
      <c r="R103" s="33"/>
      <c r="S103" s="33"/>
    </row>
    <row r="104" spans="2:30" x14ac:dyDescent="0.2">
      <c r="B104" s="67"/>
      <c r="C104" s="67"/>
      <c r="D104" s="67"/>
      <c r="E104" s="67"/>
      <c r="F104" s="67"/>
      <c r="G104" s="67"/>
      <c r="H104" s="67"/>
      <c r="I104" s="67"/>
      <c r="J104" s="33"/>
      <c r="K104" s="33"/>
      <c r="L104" s="33"/>
      <c r="M104" s="33"/>
      <c r="N104" s="33"/>
      <c r="O104" s="33"/>
      <c r="P104" s="33"/>
      <c r="Q104" s="33"/>
      <c r="R104" s="33"/>
      <c r="S104" s="33"/>
    </row>
    <row r="105" spans="2:30" x14ac:dyDescent="0.2">
      <c r="B105" s="262" t="s">
        <v>144</v>
      </c>
      <c r="C105" s="262"/>
      <c r="D105" s="262"/>
      <c r="E105" s="262"/>
      <c r="F105" s="262"/>
      <c r="G105" s="262"/>
      <c r="H105" s="262"/>
      <c r="I105" s="262"/>
      <c r="J105" s="89"/>
      <c r="K105" s="33"/>
      <c r="L105" s="33"/>
      <c r="M105" s="33"/>
      <c r="N105" s="33"/>
      <c r="O105" s="33"/>
      <c r="P105" s="33"/>
      <c r="Q105" s="33"/>
      <c r="R105" s="33"/>
      <c r="S105" s="33"/>
    </row>
    <row r="106" spans="2:30" x14ac:dyDescent="0.2">
      <c r="B106" s="263" t="s">
        <v>145</v>
      </c>
      <c r="C106" s="263"/>
      <c r="D106" s="263"/>
      <c r="E106" s="263"/>
      <c r="F106" s="263"/>
      <c r="G106" s="263"/>
      <c r="H106" s="263"/>
      <c r="I106" s="263"/>
      <c r="J106" s="89"/>
      <c r="K106" s="33"/>
      <c r="L106" s="33"/>
      <c r="M106" s="33"/>
      <c r="N106" s="33"/>
      <c r="O106" s="33"/>
      <c r="P106" s="33"/>
      <c r="Q106" s="33"/>
      <c r="R106" s="33"/>
      <c r="S106" s="33"/>
    </row>
    <row r="107" spans="2:30" x14ac:dyDescent="0.2">
      <c r="B107" s="262" t="s">
        <v>146</v>
      </c>
      <c r="C107" s="262"/>
      <c r="D107" s="262"/>
      <c r="E107" s="262"/>
      <c r="F107" s="262"/>
      <c r="G107" s="262"/>
      <c r="H107" s="262"/>
      <c r="I107" s="262"/>
      <c r="J107" s="89"/>
      <c r="K107" s="33"/>
      <c r="L107" s="33"/>
      <c r="M107" s="33"/>
      <c r="N107" s="33"/>
      <c r="O107" s="33"/>
      <c r="P107" s="33"/>
      <c r="Q107" s="33"/>
      <c r="R107" s="33"/>
      <c r="S107" s="33"/>
    </row>
    <row r="108" spans="2:30" x14ac:dyDescent="0.2">
      <c r="B108" s="262" t="s">
        <v>147</v>
      </c>
      <c r="C108" s="262"/>
      <c r="D108" s="262"/>
      <c r="E108" s="262"/>
      <c r="F108" s="262"/>
      <c r="G108" s="262"/>
      <c r="H108" s="262"/>
      <c r="I108" s="262"/>
      <c r="J108" s="89"/>
      <c r="K108" s="33"/>
      <c r="L108" s="33"/>
      <c r="M108" s="33"/>
      <c r="N108" s="33"/>
      <c r="O108" s="33"/>
      <c r="P108" s="33"/>
      <c r="Q108" s="33"/>
      <c r="R108" s="33"/>
      <c r="S108" s="33"/>
    </row>
    <row r="109" spans="2:30" x14ac:dyDescent="0.2">
      <c r="B109" s="262" t="s">
        <v>148</v>
      </c>
      <c r="C109" s="262"/>
      <c r="D109" s="262"/>
      <c r="E109" s="262"/>
      <c r="F109" s="262"/>
      <c r="G109" s="262"/>
      <c r="H109" s="262"/>
      <c r="I109" s="262"/>
      <c r="J109" s="110"/>
    </row>
    <row r="110" spans="2:30" x14ac:dyDescent="0.2">
      <c r="B110" s="68"/>
      <c r="C110" s="68"/>
      <c r="D110" s="68"/>
      <c r="E110" s="68"/>
      <c r="F110" s="68"/>
      <c r="G110" s="68"/>
      <c r="H110" s="68"/>
      <c r="I110" s="68"/>
      <c r="J110" s="110"/>
    </row>
    <row r="111" spans="2:30" x14ac:dyDescent="0.2">
      <c r="B111" s="67"/>
      <c r="C111" s="67"/>
      <c r="D111" s="67"/>
      <c r="E111" s="67"/>
      <c r="F111" s="67"/>
      <c r="G111" s="67"/>
      <c r="H111" s="67"/>
      <c r="I111" s="67"/>
    </row>
    <row r="112" spans="2:30" x14ac:dyDescent="0.2">
      <c r="B112" s="67"/>
      <c r="C112" s="67"/>
      <c r="D112" s="67"/>
      <c r="E112" s="67"/>
      <c r="F112" s="67"/>
      <c r="G112" s="67"/>
      <c r="H112" s="67"/>
      <c r="I112" s="67"/>
    </row>
    <row r="113" spans="2:9" x14ac:dyDescent="0.2">
      <c r="B113" s="67"/>
      <c r="C113" s="67"/>
      <c r="D113" s="67"/>
      <c r="E113" s="67"/>
      <c r="F113" s="67"/>
      <c r="G113" s="67"/>
      <c r="H113" s="67"/>
      <c r="I113" s="67"/>
    </row>
    <row r="114" spans="2:9" x14ac:dyDescent="0.2">
      <c r="B114" s="67"/>
      <c r="C114" s="67"/>
      <c r="D114" s="67"/>
      <c r="E114" s="67"/>
      <c r="F114" s="67"/>
      <c r="G114" s="67"/>
      <c r="H114" s="67"/>
      <c r="I114" s="67"/>
    </row>
  </sheetData>
  <sheetProtection password="C931" sheet="1" selectLockedCells="1"/>
  <mergeCells count="78">
    <mergeCell ref="B72:C72"/>
    <mergeCell ref="B73:C73"/>
    <mergeCell ref="B74:C74"/>
    <mergeCell ref="B67:C67"/>
    <mergeCell ref="B68:C68"/>
    <mergeCell ref="B69:C69"/>
    <mergeCell ref="B70:C70"/>
    <mergeCell ref="B71:C71"/>
    <mergeCell ref="B98:D98"/>
    <mergeCell ref="F98:K98"/>
    <mergeCell ref="C12:D12"/>
    <mergeCell ref="B23:C23"/>
    <mergeCell ref="B24:C24"/>
    <mergeCell ref="J80:K80"/>
    <mergeCell ref="B35:C35"/>
    <mergeCell ref="B36:C36"/>
    <mergeCell ref="B37:C37"/>
    <mergeCell ref="B38:C38"/>
    <mergeCell ref="B39:C39"/>
    <mergeCell ref="B54:C54"/>
    <mergeCell ref="B55:C55"/>
    <mergeCell ref="B56:C56"/>
    <mergeCell ref="B57:C57"/>
    <mergeCell ref="B79:I87"/>
    <mergeCell ref="C10:D10"/>
    <mergeCell ref="B10:B12"/>
    <mergeCell ref="C9:D9"/>
    <mergeCell ref="L1:L3"/>
    <mergeCell ref="I2:I3"/>
    <mergeCell ref="C6:D6"/>
    <mergeCell ref="C7:D7"/>
    <mergeCell ref="C8:D8"/>
    <mergeCell ref="B46:C46"/>
    <mergeCell ref="B47:C47"/>
    <mergeCell ref="B48:C48"/>
    <mergeCell ref="B61:C61"/>
    <mergeCell ref="B50:C50"/>
    <mergeCell ref="B52:C52"/>
    <mergeCell ref="B53:C53"/>
    <mergeCell ref="B49:C49"/>
    <mergeCell ref="B51:C51"/>
    <mergeCell ref="B41:C41"/>
    <mergeCell ref="B42:C42"/>
    <mergeCell ref="B43:C43"/>
    <mergeCell ref="B44:C44"/>
    <mergeCell ref="B45:C45"/>
    <mergeCell ref="B109:I109"/>
    <mergeCell ref="B26:C26"/>
    <mergeCell ref="B27:C27"/>
    <mergeCell ref="B28:C28"/>
    <mergeCell ref="B29:C29"/>
    <mergeCell ref="B30:C30"/>
    <mergeCell ref="B31:C31"/>
    <mergeCell ref="B32:C32"/>
    <mergeCell ref="B33:C33"/>
    <mergeCell ref="B105:I105"/>
    <mergeCell ref="B106:I106"/>
    <mergeCell ref="B107:I107"/>
    <mergeCell ref="B40:C40"/>
    <mergeCell ref="B75:C75"/>
    <mergeCell ref="B34:C34"/>
    <mergeCell ref="B108:I108"/>
    <mergeCell ref="B25:C25"/>
    <mergeCell ref="J85:K85"/>
    <mergeCell ref="J86:K86"/>
    <mergeCell ref="J87:K87"/>
    <mergeCell ref="J83:K83"/>
    <mergeCell ref="J84:K84"/>
    <mergeCell ref="J81:K81"/>
    <mergeCell ref="J82:K82"/>
    <mergeCell ref="B58:C58"/>
    <mergeCell ref="B59:C59"/>
    <mergeCell ref="B60:C60"/>
    <mergeCell ref="B62:C62"/>
    <mergeCell ref="B63:C63"/>
    <mergeCell ref="B66:C66"/>
    <mergeCell ref="B64:C64"/>
    <mergeCell ref="B65:C65"/>
  </mergeCells>
  <hyperlinks>
    <hyperlink ref="L4" location="Input!A1" display="Return to Input" xr:uid="{00000000-0004-0000-0500-000000000000}"/>
  </hyperlinks>
  <printOptions horizontalCentered="1" verticalCentered="1"/>
  <pageMargins left="0.39370078740157483" right="0.39370078740157483" top="0" bottom="0" header="0.31496062992125984" footer="0.31496062992125984"/>
  <pageSetup paperSize="14" scale="56" orientation="portrait" verticalDpi="4294967293"/>
  <rowBreaks count="1" manualBreakCount="1">
    <brk id="77" min="1" max="8"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pageSetUpPr fitToPage="1"/>
  </sheetPr>
  <dimension ref="A1:AD116"/>
  <sheetViews>
    <sheetView topLeftCell="B4" workbookViewId="0">
      <selection activeCell="L4" sqref="L4"/>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6.140625" style="22" bestFit="1" customWidth="1"/>
    <col min="14" max="17" width="8.875" style="65"/>
    <col min="18"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H2" s="24"/>
      <c r="I2" s="283" t="s">
        <v>55</v>
      </c>
      <c r="J2" s="25"/>
      <c r="L2" s="282"/>
    </row>
    <row r="3" spans="2:28" x14ac:dyDescent="0.2">
      <c r="C3" s="23" t="str">
        <f>INPUT!D43</f>
        <v>Nob Hill</v>
      </c>
      <c r="H3" s="26"/>
      <c r="I3" s="283"/>
      <c r="J3" s="25"/>
      <c r="L3" s="282"/>
    </row>
    <row r="4" spans="2:28" x14ac:dyDescent="0.2">
      <c r="C4" s="23" t="s">
        <v>58</v>
      </c>
      <c r="H4" s="25"/>
      <c r="I4" s="25"/>
      <c r="J4" s="25"/>
      <c r="L4" s="27" t="s">
        <v>59</v>
      </c>
    </row>
    <row r="5" spans="2:28" ht="15.75" thickBot="1" x14ac:dyDescent="0.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30"/>
      <c r="G7" s="30"/>
      <c r="H7" s="25"/>
      <c r="L7" s="31"/>
      <c r="M7" s="31"/>
    </row>
    <row r="8" spans="2:28" x14ac:dyDescent="0.2">
      <c r="B8" s="32" t="s">
        <v>8</v>
      </c>
      <c r="C8" s="288">
        <f>INPUT!D46</f>
        <v>597</v>
      </c>
      <c r="D8" s="289"/>
      <c r="L8" s="31"/>
      <c r="M8" s="31"/>
    </row>
    <row r="9" spans="2:28" x14ac:dyDescent="0.2">
      <c r="B9" s="32" t="s">
        <v>61</v>
      </c>
      <c r="C9" s="280">
        <f>INPUT!D47</f>
        <v>17314000</v>
      </c>
      <c r="D9" s="281"/>
      <c r="L9" s="31"/>
      <c r="M9" s="31"/>
    </row>
    <row r="10" spans="2:28" x14ac:dyDescent="0.2">
      <c r="B10" s="278" t="s">
        <v>62</v>
      </c>
      <c r="C10" s="270" t="s">
        <v>149</v>
      </c>
      <c r="D10" s="271"/>
      <c r="L10" s="31"/>
      <c r="M10" s="31"/>
    </row>
    <row r="11" spans="2:28" x14ac:dyDescent="0.2">
      <c r="B11" s="278"/>
      <c r="C11" s="138" t="s">
        <v>252</v>
      </c>
      <c r="D11" s="139"/>
      <c r="L11" s="31"/>
      <c r="M11" s="31"/>
    </row>
    <row r="12" spans="2:28" ht="15.75" thickBot="1" x14ac:dyDescent="0.25">
      <c r="B12" s="279"/>
      <c r="C12" s="272" t="s">
        <v>155</v>
      </c>
      <c r="D12" s="273"/>
      <c r="L12" s="33"/>
      <c r="M12" s="33"/>
    </row>
    <row r="13" spans="2:28" x14ac:dyDescent="0.2">
      <c r="E13" s="33"/>
      <c r="F13" s="33"/>
      <c r="G13" s="33"/>
      <c r="H13" s="33"/>
      <c r="I13" s="33"/>
      <c r="J13" s="33"/>
      <c r="K13" s="33"/>
      <c r="L13" s="86" t="s">
        <v>150</v>
      </c>
      <c r="M13" s="87">
        <v>0.02</v>
      </c>
    </row>
    <row r="14" spans="2:28" x14ac:dyDescent="0.2">
      <c r="B14" s="34" t="s">
        <v>64</v>
      </c>
      <c r="C14" s="34"/>
      <c r="E14" s="33"/>
      <c r="F14" s="33"/>
      <c r="G14" s="33"/>
      <c r="H14" s="33"/>
      <c r="I14" s="33"/>
      <c r="J14" s="33"/>
      <c r="K14" s="33"/>
      <c r="L14" s="33"/>
      <c r="M14" s="87">
        <v>0</v>
      </c>
    </row>
    <row r="15" spans="2:28" x14ac:dyDescent="0.2">
      <c r="B15" s="35" t="s">
        <v>65</v>
      </c>
      <c r="C15" s="36"/>
      <c r="D15" s="37">
        <f>C9</f>
        <v>17314000</v>
      </c>
      <c r="E15" s="38">
        <f>C9</f>
        <v>17314000</v>
      </c>
      <c r="F15" s="39">
        <f>D15-E15</f>
        <v>0</v>
      </c>
      <c r="G15" s="33"/>
      <c r="H15" s="33"/>
      <c r="I15" s="95"/>
      <c r="J15" s="33"/>
      <c r="K15" s="33"/>
      <c r="L15" s="33"/>
      <c r="M15" s="33"/>
      <c r="N15" s="33"/>
      <c r="O15" s="33"/>
      <c r="P15" s="33"/>
      <c r="Q15" s="33"/>
      <c r="R15" s="33"/>
      <c r="S15" s="33"/>
      <c r="T15" s="31"/>
      <c r="U15" s="31"/>
      <c r="V15" s="31"/>
      <c r="W15" s="31"/>
      <c r="X15" s="31"/>
      <c r="Y15" s="31"/>
      <c r="Z15" s="31"/>
    </row>
    <row r="16" spans="2:28" x14ac:dyDescent="0.2">
      <c r="B16" s="115"/>
      <c r="C16" s="41"/>
      <c r="D16" s="42"/>
      <c r="E16" s="43"/>
      <c r="F16" s="39"/>
      <c r="G16" s="39"/>
      <c r="H16" s="39"/>
      <c r="I16" s="33"/>
      <c r="J16" s="33"/>
      <c r="K16" s="95"/>
      <c r="L16" s="33"/>
      <c r="M16" s="33"/>
      <c r="N16" s="33"/>
      <c r="O16" s="33"/>
      <c r="P16" s="33"/>
      <c r="R16" s="65"/>
      <c r="S16" s="33"/>
      <c r="T16" s="33"/>
      <c r="U16" s="33"/>
      <c r="V16" s="31"/>
      <c r="W16" s="31"/>
      <c r="X16" s="31"/>
      <c r="Y16" s="31"/>
      <c r="Z16" s="31"/>
      <c r="AA16" s="31"/>
      <c r="AB16" s="31"/>
    </row>
    <row r="17" spans="2:28" hidden="1" x14ac:dyDescent="0.2">
      <c r="B17" s="115"/>
      <c r="C17" s="69"/>
      <c r="D17" s="42"/>
      <c r="E17" s="43"/>
      <c r="F17" s="39"/>
      <c r="G17" s="39"/>
      <c r="H17" s="39"/>
      <c r="I17" s="33"/>
      <c r="J17" s="33"/>
      <c r="K17" s="95"/>
      <c r="L17" s="33"/>
      <c r="M17" s="33"/>
      <c r="N17" s="33"/>
      <c r="O17" s="33"/>
      <c r="P17" s="33"/>
      <c r="R17" s="65"/>
      <c r="S17" s="33"/>
      <c r="T17" s="33"/>
      <c r="U17" s="33"/>
      <c r="V17" s="31"/>
      <c r="W17" s="31"/>
      <c r="X17" s="31"/>
      <c r="Y17" s="31"/>
      <c r="Z17" s="31"/>
      <c r="AA17" s="31"/>
      <c r="AB17" s="31"/>
    </row>
    <row r="18" spans="2:28" x14ac:dyDescent="0.2">
      <c r="B18" s="115" t="s">
        <v>67</v>
      </c>
      <c r="C18" s="69">
        <v>0.02</v>
      </c>
      <c r="D18" s="42">
        <f>IF(C18&gt;2%,"INVALID",(D15-D16-D17)*C18)</f>
        <v>346280</v>
      </c>
      <c r="E18" s="38"/>
      <c r="F18" s="39"/>
      <c r="G18" s="39"/>
      <c r="H18" s="39"/>
      <c r="I18" s="33"/>
      <c r="J18" s="33"/>
      <c r="K18" s="95"/>
      <c r="L18" s="33"/>
      <c r="M18" s="33"/>
      <c r="N18" s="33"/>
      <c r="O18" s="33"/>
      <c r="P18" s="33"/>
      <c r="R18" s="65"/>
      <c r="S18" s="33"/>
      <c r="T18" s="33"/>
      <c r="U18" s="33"/>
      <c r="V18" s="31"/>
      <c r="W18" s="31"/>
      <c r="X18" s="31"/>
      <c r="Y18" s="31"/>
      <c r="Z18" s="31"/>
      <c r="AA18" s="31"/>
      <c r="AB18" s="31"/>
    </row>
    <row r="19" spans="2:28" x14ac:dyDescent="0.2">
      <c r="B19" s="115">
        <f>IF(INPUT!$D$42="Repeat Buyer",Classic_Mem_Inst1!$L$13,Classic_Mem_Inst1!$L$14)</f>
        <v>0</v>
      </c>
      <c r="C19" s="97">
        <f>IF(B19=Classic_Mem_Inst1!$L$13,Classic_Mem_Inst1!$M$13,Classic_Mem_Inst1!$M$14)</f>
        <v>0</v>
      </c>
      <c r="D19" s="42">
        <f>(D15-D16-D17-D18)*C19</f>
        <v>0</v>
      </c>
      <c r="E19" s="44"/>
      <c r="F19" s="39"/>
      <c r="G19" s="39"/>
      <c r="H19" s="39"/>
      <c r="I19" s="33"/>
      <c r="J19" s="33"/>
      <c r="K19" s="95"/>
      <c r="L19" s="33"/>
      <c r="M19" s="33"/>
      <c r="N19" s="33"/>
      <c r="O19" s="33"/>
      <c r="P19" s="33"/>
      <c r="Q19" s="33"/>
      <c r="R19" s="33"/>
      <c r="S19" s="33"/>
      <c r="T19" s="33"/>
      <c r="U19" s="33"/>
      <c r="V19" s="31"/>
      <c r="W19" s="31"/>
      <c r="X19" s="31"/>
      <c r="Y19" s="31"/>
      <c r="Z19" s="31"/>
      <c r="AA19" s="31"/>
      <c r="AB19" s="31"/>
    </row>
    <row r="20" spans="2:28" x14ac:dyDescent="0.2">
      <c r="B20" s="40" t="s">
        <v>68</v>
      </c>
      <c r="C20" s="97">
        <v>0.05</v>
      </c>
      <c r="D20" s="42">
        <f>((D15-D16-D17-D18-D19)/1.12)*C20</f>
        <v>757487.5</v>
      </c>
      <c r="E20" s="120"/>
      <c r="F20" s="113"/>
      <c r="G20" s="113"/>
      <c r="H20" s="113"/>
      <c r="I20" s="31"/>
      <c r="J20" s="31"/>
      <c r="K20" s="31"/>
      <c r="L20" s="31"/>
      <c r="M20" s="31"/>
      <c r="N20" s="31"/>
      <c r="O20" s="31"/>
      <c r="P20" s="31"/>
      <c r="Q20" s="31"/>
      <c r="R20" s="31"/>
      <c r="S20" s="31"/>
      <c r="T20" s="31"/>
      <c r="U20" s="31"/>
      <c r="V20" s="31"/>
      <c r="W20" s="31"/>
      <c r="X20" s="31"/>
      <c r="Y20" s="31"/>
      <c r="Z20" s="31"/>
      <c r="AA20" s="31"/>
      <c r="AB20" s="31"/>
    </row>
    <row r="21" spans="2:28" ht="15.75" thickBot="1" x14ac:dyDescent="0.25">
      <c r="B21" s="45" t="s">
        <v>69</v>
      </c>
      <c r="C21" s="46"/>
      <c r="D21" s="47">
        <f>(D15-SUM(D16:D19))+D20</f>
        <v>17725207.5</v>
      </c>
      <c r="E21" s="38"/>
      <c r="F21" s="39"/>
      <c r="G21" s="39"/>
      <c r="H21" s="39"/>
      <c r="I21" s="33"/>
      <c r="J21" s="33"/>
      <c r="K21" s="95"/>
      <c r="L21" s="33"/>
      <c r="M21" s="33"/>
      <c r="N21" s="33"/>
      <c r="O21" s="33"/>
      <c r="P21" s="33"/>
      <c r="Q21" s="33"/>
      <c r="R21" s="33"/>
      <c r="S21" s="33"/>
      <c r="T21" s="33"/>
      <c r="U21" s="33"/>
      <c r="V21" s="31"/>
      <c r="W21" s="31"/>
      <c r="X21" s="31"/>
      <c r="Y21" s="31"/>
      <c r="Z21" s="31"/>
      <c r="AA21" s="31"/>
      <c r="AB21" s="31"/>
    </row>
    <row r="22" spans="2:28" ht="16.5" thickTop="1" thickBot="1" x14ac:dyDescent="0.25"/>
    <row r="23" spans="2:28" ht="15.75" thickBot="1" x14ac:dyDescent="0.25">
      <c r="B23" s="274" t="s">
        <v>70</v>
      </c>
      <c r="C23" s="275"/>
      <c r="D23" s="78" t="s">
        <v>71</v>
      </c>
      <c r="E23" s="78" t="s">
        <v>72</v>
      </c>
      <c r="F23" s="78" t="s">
        <v>73</v>
      </c>
      <c r="G23" s="78" t="s">
        <v>74</v>
      </c>
      <c r="H23" s="78" t="s">
        <v>75</v>
      </c>
      <c r="I23" s="79" t="s">
        <v>76</v>
      </c>
      <c r="J23" s="33"/>
      <c r="K23" s="33"/>
      <c r="L23" s="33"/>
      <c r="M23" s="33"/>
    </row>
    <row r="24" spans="2:28" x14ac:dyDescent="0.2">
      <c r="B24" s="302">
        <v>0</v>
      </c>
      <c r="C24" s="303"/>
      <c r="D24" s="50">
        <f ca="1">INPUT!D48</f>
        <v>45360</v>
      </c>
      <c r="E24" s="141" t="s">
        <v>77</v>
      </c>
      <c r="F24" s="51">
        <v>50000</v>
      </c>
      <c r="G24" s="51"/>
      <c r="H24" s="51">
        <f>SUM(F24:G24)</f>
        <v>50000</v>
      </c>
      <c r="I24" s="52">
        <f>D21-H24</f>
        <v>17675207.5</v>
      </c>
      <c r="J24" s="53" t="s">
        <v>78</v>
      </c>
      <c r="K24" s="33"/>
      <c r="L24" s="38">
        <v>56000</v>
      </c>
      <c r="M24" s="39">
        <f>L24-H24</f>
        <v>6000</v>
      </c>
    </row>
    <row r="25" spans="2:28" hidden="1" x14ac:dyDescent="0.2">
      <c r="B25" s="290"/>
      <c r="C25" s="265"/>
      <c r="D25" s="73"/>
      <c r="E25" s="74" t="s">
        <v>79</v>
      </c>
      <c r="F25" s="75"/>
      <c r="G25" s="75"/>
      <c r="H25" s="75">
        <v>0</v>
      </c>
      <c r="I25" s="76">
        <f>I24-H25</f>
        <v>17675207.5</v>
      </c>
      <c r="J25" s="53"/>
      <c r="K25" s="33"/>
      <c r="L25" s="38"/>
      <c r="M25" s="39"/>
    </row>
    <row r="26" spans="2:28" x14ac:dyDescent="0.2">
      <c r="B26" s="290">
        <v>1</v>
      </c>
      <c r="C26" s="265"/>
      <c r="D26" s="70">
        <f ca="1">EDATE(D24,1)</f>
        <v>45391</v>
      </c>
      <c r="E26" s="134" t="s">
        <v>90</v>
      </c>
      <c r="F26" s="71">
        <f>(D21-D20)-SUM(F24,F27:F75)</f>
        <v>3343543.9200000018</v>
      </c>
      <c r="G26" s="71">
        <f>D20-SUM(G27:G75)</f>
        <v>151497.32499999984</v>
      </c>
      <c r="H26" s="71">
        <f>SUM(F26:G26)</f>
        <v>3495041.2450000015</v>
      </c>
      <c r="I26" s="76">
        <f>I25-H26</f>
        <v>14180166.254999999</v>
      </c>
      <c r="J26" s="53"/>
      <c r="K26" s="33"/>
      <c r="L26" s="38"/>
      <c r="M26" s="39"/>
    </row>
    <row r="27" spans="2:28" x14ac:dyDescent="0.2">
      <c r="B27" s="290">
        <v>2</v>
      </c>
      <c r="C27" s="265"/>
      <c r="D27" s="70">
        <f ca="1">EDATE(D26,1)</f>
        <v>45421</v>
      </c>
      <c r="E27" s="134" t="s">
        <v>91</v>
      </c>
      <c r="F27" s="71">
        <f>ROUND(((D21-D20)*35%)/48,2)</f>
        <v>123722.96</v>
      </c>
      <c r="G27" s="71">
        <f>ROUND((D20*35%)/48,2)</f>
        <v>5523.35</v>
      </c>
      <c r="H27" s="71">
        <f t="shared" ref="H27:H62" si="0">SUM(F27:G27)</f>
        <v>129246.31000000001</v>
      </c>
      <c r="I27" s="72">
        <f t="shared" ref="I27:I62" si="1">I26-H27</f>
        <v>14050919.944999998</v>
      </c>
      <c r="J27" s="53"/>
      <c r="K27" s="33"/>
      <c r="L27" s="38"/>
      <c r="M27" s="39"/>
    </row>
    <row r="28" spans="2:28" x14ac:dyDescent="0.2">
      <c r="B28" s="290">
        <v>3</v>
      </c>
      <c r="C28" s="265"/>
      <c r="D28" s="70">
        <f t="shared" ref="D28:D75" ca="1" si="2">EDATE(D27,1)</f>
        <v>45452</v>
      </c>
      <c r="E28" s="134" t="s">
        <v>92</v>
      </c>
      <c r="F28" s="71">
        <f>F27</f>
        <v>123722.96</v>
      </c>
      <c r="G28" s="71">
        <f>G27</f>
        <v>5523.35</v>
      </c>
      <c r="H28" s="71">
        <f t="shared" si="0"/>
        <v>129246.31000000001</v>
      </c>
      <c r="I28" s="72">
        <f t="shared" si="1"/>
        <v>13921673.634999998</v>
      </c>
      <c r="J28" s="53"/>
      <c r="K28" s="33"/>
      <c r="L28" s="38"/>
      <c r="M28" s="39"/>
    </row>
    <row r="29" spans="2:28" x14ac:dyDescent="0.2">
      <c r="B29" s="290">
        <v>4</v>
      </c>
      <c r="C29" s="265"/>
      <c r="D29" s="70">
        <f t="shared" ca="1" si="2"/>
        <v>45482</v>
      </c>
      <c r="E29" s="134" t="s">
        <v>93</v>
      </c>
      <c r="F29" s="71">
        <f t="shared" ref="F29:G62" si="3">F28</f>
        <v>123722.96</v>
      </c>
      <c r="G29" s="71">
        <f t="shared" si="3"/>
        <v>5523.35</v>
      </c>
      <c r="H29" s="71">
        <f t="shared" si="0"/>
        <v>129246.31000000001</v>
      </c>
      <c r="I29" s="72">
        <f t="shared" si="1"/>
        <v>13792427.324999997</v>
      </c>
      <c r="J29" s="53"/>
      <c r="K29" s="33"/>
      <c r="L29" s="38"/>
      <c r="M29" s="39"/>
    </row>
    <row r="30" spans="2:28" x14ac:dyDescent="0.2">
      <c r="B30" s="290">
        <v>5</v>
      </c>
      <c r="C30" s="265"/>
      <c r="D30" s="70">
        <f t="shared" ca="1" si="2"/>
        <v>45513</v>
      </c>
      <c r="E30" s="134" t="s">
        <v>94</v>
      </c>
      <c r="F30" s="71">
        <f t="shared" si="3"/>
        <v>123722.96</v>
      </c>
      <c r="G30" s="71">
        <f t="shared" si="3"/>
        <v>5523.35</v>
      </c>
      <c r="H30" s="71">
        <f t="shared" si="0"/>
        <v>129246.31000000001</v>
      </c>
      <c r="I30" s="72">
        <f t="shared" si="1"/>
        <v>13663181.014999997</v>
      </c>
      <c r="J30" s="53"/>
      <c r="K30" s="33"/>
      <c r="L30" s="38"/>
      <c r="M30" s="39"/>
    </row>
    <row r="31" spans="2:28" x14ac:dyDescent="0.2">
      <c r="B31" s="290">
        <v>6</v>
      </c>
      <c r="C31" s="265"/>
      <c r="D31" s="70">
        <f t="shared" ca="1" si="2"/>
        <v>45544</v>
      </c>
      <c r="E31" s="134" t="s">
        <v>95</v>
      </c>
      <c r="F31" s="71">
        <f t="shared" si="3"/>
        <v>123722.96</v>
      </c>
      <c r="G31" s="71">
        <f t="shared" si="3"/>
        <v>5523.35</v>
      </c>
      <c r="H31" s="71">
        <f t="shared" si="0"/>
        <v>129246.31000000001</v>
      </c>
      <c r="I31" s="72">
        <f t="shared" si="1"/>
        <v>13533934.704999996</v>
      </c>
      <c r="J31" s="53"/>
      <c r="K31" s="33"/>
      <c r="L31" s="38"/>
      <c r="M31" s="39"/>
    </row>
    <row r="32" spans="2:28" x14ac:dyDescent="0.2">
      <c r="B32" s="290">
        <v>7</v>
      </c>
      <c r="C32" s="265"/>
      <c r="D32" s="70">
        <f t="shared" ca="1" si="2"/>
        <v>45574</v>
      </c>
      <c r="E32" s="134" t="s">
        <v>96</v>
      </c>
      <c r="F32" s="71">
        <f t="shared" si="3"/>
        <v>123722.96</v>
      </c>
      <c r="G32" s="71">
        <f t="shared" si="3"/>
        <v>5523.35</v>
      </c>
      <c r="H32" s="71">
        <f t="shared" si="0"/>
        <v>129246.31000000001</v>
      </c>
      <c r="I32" s="72">
        <f t="shared" si="1"/>
        <v>13404688.394999996</v>
      </c>
      <c r="J32" s="53"/>
      <c r="K32" s="33"/>
      <c r="L32" s="38"/>
      <c r="M32" s="39"/>
    </row>
    <row r="33" spans="2:13" x14ac:dyDescent="0.2">
      <c r="B33" s="290">
        <v>8</v>
      </c>
      <c r="C33" s="265"/>
      <c r="D33" s="70">
        <f t="shared" ca="1" si="2"/>
        <v>45605</v>
      </c>
      <c r="E33" s="134" t="s">
        <v>97</v>
      </c>
      <c r="F33" s="71">
        <f t="shared" si="3"/>
        <v>123722.96</v>
      </c>
      <c r="G33" s="71">
        <f t="shared" si="3"/>
        <v>5523.35</v>
      </c>
      <c r="H33" s="71">
        <f t="shared" si="0"/>
        <v>129246.31000000001</v>
      </c>
      <c r="I33" s="72">
        <f t="shared" si="1"/>
        <v>13275442.084999995</v>
      </c>
      <c r="J33" s="53"/>
      <c r="K33" s="33"/>
      <c r="L33" s="38"/>
      <c r="M33" s="39"/>
    </row>
    <row r="34" spans="2:13" x14ac:dyDescent="0.2">
      <c r="B34" s="290">
        <v>9</v>
      </c>
      <c r="C34" s="265"/>
      <c r="D34" s="70">
        <f t="shared" ca="1" si="2"/>
        <v>45635</v>
      </c>
      <c r="E34" s="134" t="s">
        <v>98</v>
      </c>
      <c r="F34" s="71">
        <f t="shared" si="3"/>
        <v>123722.96</v>
      </c>
      <c r="G34" s="71">
        <f t="shared" si="3"/>
        <v>5523.35</v>
      </c>
      <c r="H34" s="71">
        <f t="shared" si="0"/>
        <v>129246.31000000001</v>
      </c>
      <c r="I34" s="72">
        <f t="shared" si="1"/>
        <v>13146195.774999995</v>
      </c>
      <c r="J34" s="53"/>
      <c r="K34" s="33"/>
      <c r="L34" s="38"/>
      <c r="M34" s="39"/>
    </row>
    <row r="35" spans="2:13" x14ac:dyDescent="0.2">
      <c r="B35" s="290">
        <v>10</v>
      </c>
      <c r="C35" s="265"/>
      <c r="D35" s="70">
        <f t="shared" ca="1" si="2"/>
        <v>45666</v>
      </c>
      <c r="E35" s="134" t="s">
        <v>99</v>
      </c>
      <c r="F35" s="71">
        <f t="shared" si="3"/>
        <v>123722.96</v>
      </c>
      <c r="G35" s="71">
        <f t="shared" si="3"/>
        <v>5523.35</v>
      </c>
      <c r="H35" s="71">
        <f t="shared" si="0"/>
        <v>129246.31000000001</v>
      </c>
      <c r="I35" s="72">
        <f t="shared" si="1"/>
        <v>13016949.464999994</v>
      </c>
      <c r="J35" s="53"/>
      <c r="K35" s="33"/>
      <c r="L35" s="38"/>
      <c r="M35" s="39"/>
    </row>
    <row r="36" spans="2:13" x14ac:dyDescent="0.2">
      <c r="B36" s="290">
        <v>11</v>
      </c>
      <c r="C36" s="265"/>
      <c r="D36" s="70">
        <f t="shared" ca="1" si="2"/>
        <v>45697</v>
      </c>
      <c r="E36" s="134" t="s">
        <v>100</v>
      </c>
      <c r="F36" s="71">
        <f t="shared" si="3"/>
        <v>123722.96</v>
      </c>
      <c r="G36" s="71">
        <f t="shared" si="3"/>
        <v>5523.35</v>
      </c>
      <c r="H36" s="71">
        <f t="shared" si="0"/>
        <v>129246.31000000001</v>
      </c>
      <c r="I36" s="72">
        <f t="shared" si="1"/>
        <v>12887703.154999994</v>
      </c>
      <c r="J36" s="53"/>
      <c r="K36" s="33"/>
      <c r="L36" s="38"/>
      <c r="M36" s="39"/>
    </row>
    <row r="37" spans="2:13" x14ac:dyDescent="0.2">
      <c r="B37" s="290">
        <v>12</v>
      </c>
      <c r="C37" s="265"/>
      <c r="D37" s="70">
        <f t="shared" ca="1" si="2"/>
        <v>45725</v>
      </c>
      <c r="E37" s="134" t="s">
        <v>101</v>
      </c>
      <c r="F37" s="71">
        <f t="shared" si="3"/>
        <v>123722.96</v>
      </c>
      <c r="G37" s="71">
        <f t="shared" si="3"/>
        <v>5523.35</v>
      </c>
      <c r="H37" s="71">
        <f t="shared" si="0"/>
        <v>129246.31000000001</v>
      </c>
      <c r="I37" s="72">
        <f t="shared" si="1"/>
        <v>12758456.844999993</v>
      </c>
      <c r="J37" s="53"/>
      <c r="K37" s="33"/>
      <c r="L37" s="38"/>
      <c r="M37" s="39"/>
    </row>
    <row r="38" spans="2:13" x14ac:dyDescent="0.2">
      <c r="B38" s="290">
        <v>13</v>
      </c>
      <c r="C38" s="265"/>
      <c r="D38" s="70">
        <f t="shared" ca="1" si="2"/>
        <v>45756</v>
      </c>
      <c r="E38" s="134" t="s">
        <v>102</v>
      </c>
      <c r="F38" s="71">
        <f t="shared" si="3"/>
        <v>123722.96</v>
      </c>
      <c r="G38" s="71">
        <f t="shared" si="3"/>
        <v>5523.35</v>
      </c>
      <c r="H38" s="71">
        <f t="shared" si="0"/>
        <v>129246.31000000001</v>
      </c>
      <c r="I38" s="72">
        <f t="shared" si="1"/>
        <v>12629210.534999993</v>
      </c>
      <c r="J38" s="53"/>
      <c r="K38" s="33"/>
      <c r="L38" s="38"/>
      <c r="M38" s="39"/>
    </row>
    <row r="39" spans="2:13" x14ac:dyDescent="0.2">
      <c r="B39" s="290">
        <v>14</v>
      </c>
      <c r="C39" s="265"/>
      <c r="D39" s="70">
        <f t="shared" ca="1" si="2"/>
        <v>45786</v>
      </c>
      <c r="E39" s="134" t="s">
        <v>103</v>
      </c>
      <c r="F39" s="71">
        <f t="shared" si="3"/>
        <v>123722.96</v>
      </c>
      <c r="G39" s="71">
        <f t="shared" si="3"/>
        <v>5523.35</v>
      </c>
      <c r="H39" s="71">
        <f t="shared" si="0"/>
        <v>129246.31000000001</v>
      </c>
      <c r="I39" s="72">
        <f t="shared" si="1"/>
        <v>12499964.224999992</v>
      </c>
      <c r="J39" s="53"/>
      <c r="K39" s="33"/>
      <c r="L39" s="38"/>
      <c r="M39" s="39"/>
    </row>
    <row r="40" spans="2:13" x14ac:dyDescent="0.2">
      <c r="B40" s="290">
        <v>15</v>
      </c>
      <c r="C40" s="265"/>
      <c r="D40" s="70">
        <f t="shared" ca="1" si="2"/>
        <v>45817</v>
      </c>
      <c r="E40" s="134" t="s">
        <v>104</v>
      </c>
      <c r="F40" s="71">
        <f t="shared" si="3"/>
        <v>123722.96</v>
      </c>
      <c r="G40" s="71">
        <f t="shared" si="3"/>
        <v>5523.35</v>
      </c>
      <c r="H40" s="71">
        <f t="shared" si="0"/>
        <v>129246.31000000001</v>
      </c>
      <c r="I40" s="72">
        <f t="shared" si="1"/>
        <v>12370717.914999992</v>
      </c>
      <c r="J40" s="53"/>
      <c r="K40" s="33"/>
      <c r="L40" s="38"/>
      <c r="M40" s="39"/>
    </row>
    <row r="41" spans="2:13" x14ac:dyDescent="0.2">
      <c r="B41" s="290">
        <v>16</v>
      </c>
      <c r="C41" s="265"/>
      <c r="D41" s="70">
        <f t="shared" ca="1" si="2"/>
        <v>45847</v>
      </c>
      <c r="E41" s="134" t="s">
        <v>105</v>
      </c>
      <c r="F41" s="71">
        <f t="shared" si="3"/>
        <v>123722.96</v>
      </c>
      <c r="G41" s="71">
        <f t="shared" si="3"/>
        <v>5523.35</v>
      </c>
      <c r="H41" s="71">
        <f t="shared" si="0"/>
        <v>129246.31000000001</v>
      </c>
      <c r="I41" s="72">
        <f t="shared" si="1"/>
        <v>12241471.604999991</v>
      </c>
      <c r="J41" s="53"/>
      <c r="K41" s="33"/>
      <c r="L41" s="38"/>
      <c r="M41" s="39"/>
    </row>
    <row r="42" spans="2:13" x14ac:dyDescent="0.2">
      <c r="B42" s="290">
        <v>17</v>
      </c>
      <c r="C42" s="265"/>
      <c r="D42" s="70">
        <f t="shared" ca="1" si="2"/>
        <v>45878</v>
      </c>
      <c r="E42" s="134" t="s">
        <v>106</v>
      </c>
      <c r="F42" s="71">
        <f t="shared" si="3"/>
        <v>123722.96</v>
      </c>
      <c r="G42" s="71">
        <f t="shared" si="3"/>
        <v>5523.35</v>
      </c>
      <c r="H42" s="71">
        <f t="shared" si="0"/>
        <v>129246.31000000001</v>
      </c>
      <c r="I42" s="72">
        <f t="shared" si="1"/>
        <v>12112225.294999991</v>
      </c>
      <c r="J42" s="53"/>
      <c r="K42" s="33"/>
      <c r="L42" s="38"/>
      <c r="M42" s="39"/>
    </row>
    <row r="43" spans="2:13" x14ac:dyDescent="0.2">
      <c r="B43" s="290">
        <v>18</v>
      </c>
      <c r="C43" s="265"/>
      <c r="D43" s="70">
        <f t="shared" ca="1" si="2"/>
        <v>45909</v>
      </c>
      <c r="E43" s="134" t="s">
        <v>107</v>
      </c>
      <c r="F43" s="71">
        <f t="shared" si="3"/>
        <v>123722.96</v>
      </c>
      <c r="G43" s="71">
        <f t="shared" si="3"/>
        <v>5523.35</v>
      </c>
      <c r="H43" s="71">
        <f t="shared" si="0"/>
        <v>129246.31000000001</v>
      </c>
      <c r="I43" s="72">
        <f t="shared" si="1"/>
        <v>11982978.98499999</v>
      </c>
      <c r="J43" s="53"/>
      <c r="K43" s="33"/>
      <c r="L43" s="38"/>
      <c r="M43" s="39"/>
    </row>
    <row r="44" spans="2:13" x14ac:dyDescent="0.2">
      <c r="B44" s="290">
        <v>19</v>
      </c>
      <c r="C44" s="265"/>
      <c r="D44" s="70">
        <f t="shared" ca="1" si="2"/>
        <v>45939</v>
      </c>
      <c r="E44" s="134" t="s">
        <v>108</v>
      </c>
      <c r="F44" s="71">
        <f t="shared" si="3"/>
        <v>123722.96</v>
      </c>
      <c r="G44" s="71">
        <f t="shared" si="3"/>
        <v>5523.35</v>
      </c>
      <c r="H44" s="71">
        <f t="shared" si="0"/>
        <v>129246.31000000001</v>
      </c>
      <c r="I44" s="72">
        <f t="shared" si="1"/>
        <v>11853732.67499999</v>
      </c>
      <c r="J44" s="53"/>
      <c r="K44" s="33"/>
      <c r="L44" s="38"/>
      <c r="M44" s="39"/>
    </row>
    <row r="45" spans="2:13" x14ac:dyDescent="0.2">
      <c r="B45" s="290">
        <v>20</v>
      </c>
      <c r="C45" s="265"/>
      <c r="D45" s="70">
        <f t="shared" ca="1" si="2"/>
        <v>45970</v>
      </c>
      <c r="E45" s="134" t="s">
        <v>109</v>
      </c>
      <c r="F45" s="71">
        <f t="shared" si="3"/>
        <v>123722.96</v>
      </c>
      <c r="G45" s="71">
        <f t="shared" si="3"/>
        <v>5523.35</v>
      </c>
      <c r="H45" s="71">
        <f t="shared" si="0"/>
        <v>129246.31000000001</v>
      </c>
      <c r="I45" s="72">
        <f t="shared" si="1"/>
        <v>11724486.364999989</v>
      </c>
      <c r="J45" s="53"/>
      <c r="K45" s="33"/>
      <c r="L45" s="38"/>
      <c r="M45" s="39"/>
    </row>
    <row r="46" spans="2:13" x14ac:dyDescent="0.2">
      <c r="B46" s="290">
        <v>21</v>
      </c>
      <c r="C46" s="265"/>
      <c r="D46" s="70">
        <f t="shared" ca="1" si="2"/>
        <v>46000</v>
      </c>
      <c r="E46" s="134" t="s">
        <v>110</v>
      </c>
      <c r="F46" s="71">
        <f t="shared" si="3"/>
        <v>123722.96</v>
      </c>
      <c r="G46" s="71">
        <f t="shared" si="3"/>
        <v>5523.35</v>
      </c>
      <c r="H46" s="71">
        <f t="shared" si="0"/>
        <v>129246.31000000001</v>
      </c>
      <c r="I46" s="72">
        <f t="shared" si="1"/>
        <v>11595240.054999989</v>
      </c>
      <c r="J46" s="53"/>
      <c r="K46" s="33"/>
      <c r="L46" s="38"/>
      <c r="M46" s="39"/>
    </row>
    <row r="47" spans="2:13" x14ac:dyDescent="0.2">
      <c r="B47" s="290">
        <v>22</v>
      </c>
      <c r="C47" s="265"/>
      <c r="D47" s="70">
        <f t="shared" ca="1" si="2"/>
        <v>46031</v>
      </c>
      <c r="E47" s="134" t="s">
        <v>111</v>
      </c>
      <c r="F47" s="71">
        <f t="shared" si="3"/>
        <v>123722.96</v>
      </c>
      <c r="G47" s="71">
        <f t="shared" si="3"/>
        <v>5523.35</v>
      </c>
      <c r="H47" s="71">
        <f t="shared" si="0"/>
        <v>129246.31000000001</v>
      </c>
      <c r="I47" s="72">
        <f t="shared" si="1"/>
        <v>11465993.744999988</v>
      </c>
      <c r="J47" s="53"/>
      <c r="K47" s="33"/>
      <c r="L47" s="38"/>
      <c r="M47" s="39"/>
    </row>
    <row r="48" spans="2:13" x14ac:dyDescent="0.2">
      <c r="B48" s="290">
        <v>23</v>
      </c>
      <c r="C48" s="265"/>
      <c r="D48" s="70">
        <f t="shared" ca="1" si="2"/>
        <v>46062</v>
      </c>
      <c r="E48" s="134" t="s">
        <v>112</v>
      </c>
      <c r="F48" s="71">
        <f t="shared" si="3"/>
        <v>123722.96</v>
      </c>
      <c r="G48" s="71">
        <f t="shared" si="3"/>
        <v>5523.35</v>
      </c>
      <c r="H48" s="71">
        <f t="shared" si="0"/>
        <v>129246.31000000001</v>
      </c>
      <c r="I48" s="72">
        <f t="shared" si="1"/>
        <v>11336747.434999987</v>
      </c>
      <c r="J48" s="53"/>
      <c r="K48" s="33"/>
      <c r="L48" s="38"/>
      <c r="M48" s="39"/>
    </row>
    <row r="49" spans="2:13" x14ac:dyDescent="0.2">
      <c r="B49" s="290">
        <v>24</v>
      </c>
      <c r="C49" s="265"/>
      <c r="D49" s="70">
        <f t="shared" ca="1" si="2"/>
        <v>46090</v>
      </c>
      <c r="E49" s="134" t="s">
        <v>113</v>
      </c>
      <c r="F49" s="71">
        <f t="shared" si="3"/>
        <v>123722.96</v>
      </c>
      <c r="G49" s="71">
        <f t="shared" si="3"/>
        <v>5523.35</v>
      </c>
      <c r="H49" s="71">
        <f t="shared" si="0"/>
        <v>129246.31000000001</v>
      </c>
      <c r="I49" s="72">
        <f t="shared" si="1"/>
        <v>11207501.124999987</v>
      </c>
      <c r="J49" s="53"/>
      <c r="K49" s="33"/>
      <c r="L49" s="38"/>
      <c r="M49" s="39"/>
    </row>
    <row r="50" spans="2:13" x14ac:dyDescent="0.2">
      <c r="B50" s="290">
        <v>25</v>
      </c>
      <c r="C50" s="265"/>
      <c r="D50" s="70">
        <f t="shared" ca="1" si="2"/>
        <v>46121</v>
      </c>
      <c r="E50" s="134" t="s">
        <v>114</v>
      </c>
      <c r="F50" s="71">
        <f t="shared" si="3"/>
        <v>123722.96</v>
      </c>
      <c r="G50" s="71">
        <f t="shared" ref="G50" si="4">G49</f>
        <v>5523.35</v>
      </c>
      <c r="H50" s="71">
        <f t="shared" si="0"/>
        <v>129246.31000000001</v>
      </c>
      <c r="I50" s="72">
        <f t="shared" si="1"/>
        <v>11078254.814999986</v>
      </c>
      <c r="J50" s="53"/>
      <c r="K50" s="33"/>
      <c r="L50" s="38"/>
      <c r="M50" s="39"/>
    </row>
    <row r="51" spans="2:13" x14ac:dyDescent="0.2">
      <c r="B51" s="290">
        <v>26</v>
      </c>
      <c r="C51" s="265"/>
      <c r="D51" s="70">
        <f t="shared" ca="1" si="2"/>
        <v>46151</v>
      </c>
      <c r="E51" s="134" t="s">
        <v>119</v>
      </c>
      <c r="F51" s="71">
        <f t="shared" si="3"/>
        <v>123722.96</v>
      </c>
      <c r="G51" s="71">
        <f t="shared" ref="G51" si="5">G50</f>
        <v>5523.35</v>
      </c>
      <c r="H51" s="71">
        <f t="shared" si="0"/>
        <v>129246.31000000001</v>
      </c>
      <c r="I51" s="72">
        <f t="shared" si="1"/>
        <v>10949008.504999986</v>
      </c>
      <c r="J51" s="53"/>
      <c r="K51" s="33"/>
      <c r="L51" s="38"/>
      <c r="M51" s="39"/>
    </row>
    <row r="52" spans="2:13" x14ac:dyDescent="0.2">
      <c r="B52" s="290">
        <v>27</v>
      </c>
      <c r="C52" s="265"/>
      <c r="D52" s="70">
        <f t="shared" ca="1" si="2"/>
        <v>46182</v>
      </c>
      <c r="E52" s="134" t="s">
        <v>120</v>
      </c>
      <c r="F52" s="71">
        <f t="shared" si="3"/>
        <v>123722.96</v>
      </c>
      <c r="G52" s="71">
        <f t="shared" ref="G52" si="6">G51</f>
        <v>5523.35</v>
      </c>
      <c r="H52" s="71">
        <f t="shared" si="0"/>
        <v>129246.31000000001</v>
      </c>
      <c r="I52" s="72">
        <f t="shared" si="1"/>
        <v>10819762.194999985</v>
      </c>
      <c r="J52" s="53"/>
      <c r="K52" s="33"/>
      <c r="L52" s="38"/>
      <c r="M52" s="39"/>
    </row>
    <row r="53" spans="2:13" x14ac:dyDescent="0.2">
      <c r="B53" s="290">
        <v>28</v>
      </c>
      <c r="C53" s="265"/>
      <c r="D53" s="70">
        <f t="shared" ca="1" si="2"/>
        <v>46212</v>
      </c>
      <c r="E53" s="134" t="s">
        <v>121</v>
      </c>
      <c r="F53" s="71">
        <f t="shared" si="3"/>
        <v>123722.96</v>
      </c>
      <c r="G53" s="71">
        <f t="shared" ref="G53" si="7">G52</f>
        <v>5523.35</v>
      </c>
      <c r="H53" s="71">
        <f t="shared" si="0"/>
        <v>129246.31000000001</v>
      </c>
      <c r="I53" s="72">
        <f t="shared" si="1"/>
        <v>10690515.884999985</v>
      </c>
      <c r="J53" s="53"/>
      <c r="K53" s="33"/>
      <c r="L53" s="38"/>
      <c r="M53" s="39"/>
    </row>
    <row r="54" spans="2:13" x14ac:dyDescent="0.2">
      <c r="B54" s="290">
        <v>29</v>
      </c>
      <c r="C54" s="265"/>
      <c r="D54" s="70">
        <f t="shared" ca="1" si="2"/>
        <v>46243</v>
      </c>
      <c r="E54" s="134" t="s">
        <v>122</v>
      </c>
      <c r="F54" s="71">
        <f t="shared" si="3"/>
        <v>123722.96</v>
      </c>
      <c r="G54" s="71">
        <f t="shared" ref="G54" si="8">G53</f>
        <v>5523.35</v>
      </c>
      <c r="H54" s="71">
        <f t="shared" si="0"/>
        <v>129246.31000000001</v>
      </c>
      <c r="I54" s="72">
        <f t="shared" si="1"/>
        <v>10561269.574999984</v>
      </c>
      <c r="J54" s="53"/>
      <c r="K54" s="33"/>
      <c r="L54" s="38"/>
      <c r="M54" s="39"/>
    </row>
    <row r="55" spans="2:13" x14ac:dyDescent="0.2">
      <c r="B55" s="290">
        <v>30</v>
      </c>
      <c r="C55" s="265"/>
      <c r="D55" s="70">
        <f t="shared" ca="1" si="2"/>
        <v>46274</v>
      </c>
      <c r="E55" s="134" t="s">
        <v>123</v>
      </c>
      <c r="F55" s="71">
        <f t="shared" si="3"/>
        <v>123722.96</v>
      </c>
      <c r="G55" s="71">
        <f t="shared" ref="G55" si="9">G54</f>
        <v>5523.35</v>
      </c>
      <c r="H55" s="71">
        <f t="shared" si="0"/>
        <v>129246.31000000001</v>
      </c>
      <c r="I55" s="72">
        <f t="shared" si="1"/>
        <v>10432023.264999984</v>
      </c>
      <c r="J55" s="53"/>
      <c r="K55" s="33"/>
      <c r="L55" s="38"/>
      <c r="M55" s="39"/>
    </row>
    <row r="56" spans="2:13" x14ac:dyDescent="0.2">
      <c r="B56" s="290">
        <v>31</v>
      </c>
      <c r="C56" s="265"/>
      <c r="D56" s="70">
        <f t="shared" ca="1" si="2"/>
        <v>46304</v>
      </c>
      <c r="E56" s="134" t="s">
        <v>124</v>
      </c>
      <c r="F56" s="71">
        <f t="shared" si="3"/>
        <v>123722.96</v>
      </c>
      <c r="G56" s="71">
        <f t="shared" ref="G56" si="10">G55</f>
        <v>5523.35</v>
      </c>
      <c r="H56" s="71">
        <f t="shared" si="0"/>
        <v>129246.31000000001</v>
      </c>
      <c r="I56" s="72">
        <f t="shared" si="1"/>
        <v>10302776.954999983</v>
      </c>
      <c r="J56" s="53"/>
      <c r="K56" s="33"/>
      <c r="L56" s="38"/>
      <c r="M56" s="39"/>
    </row>
    <row r="57" spans="2:13" x14ac:dyDescent="0.2">
      <c r="B57" s="290">
        <v>32</v>
      </c>
      <c r="C57" s="265"/>
      <c r="D57" s="70">
        <f t="shared" ca="1" si="2"/>
        <v>46335</v>
      </c>
      <c r="E57" s="134" t="s">
        <v>125</v>
      </c>
      <c r="F57" s="71">
        <f t="shared" si="3"/>
        <v>123722.96</v>
      </c>
      <c r="G57" s="71">
        <f t="shared" ref="G57" si="11">G56</f>
        <v>5523.35</v>
      </c>
      <c r="H57" s="71">
        <f t="shared" si="0"/>
        <v>129246.31000000001</v>
      </c>
      <c r="I57" s="72">
        <f t="shared" si="1"/>
        <v>10173530.644999983</v>
      </c>
      <c r="J57" s="53"/>
      <c r="K57" s="33"/>
      <c r="L57" s="38"/>
      <c r="M57" s="39"/>
    </row>
    <row r="58" spans="2:13" x14ac:dyDescent="0.2">
      <c r="B58" s="290">
        <v>33</v>
      </c>
      <c r="C58" s="265"/>
      <c r="D58" s="70">
        <f t="shared" ca="1" si="2"/>
        <v>46365</v>
      </c>
      <c r="E58" s="134" t="s">
        <v>126</v>
      </c>
      <c r="F58" s="71">
        <f t="shared" si="3"/>
        <v>123722.96</v>
      </c>
      <c r="G58" s="71">
        <f t="shared" ref="G58" si="12">G57</f>
        <v>5523.35</v>
      </c>
      <c r="H58" s="71">
        <f t="shared" si="0"/>
        <v>129246.31000000001</v>
      </c>
      <c r="I58" s="72">
        <f t="shared" si="1"/>
        <v>10044284.334999982</v>
      </c>
      <c r="J58" s="53"/>
      <c r="K58" s="33"/>
      <c r="L58" s="38"/>
      <c r="M58" s="39"/>
    </row>
    <row r="59" spans="2:13" x14ac:dyDescent="0.2">
      <c r="B59" s="290">
        <v>34</v>
      </c>
      <c r="C59" s="265"/>
      <c r="D59" s="70">
        <f t="shared" ca="1" si="2"/>
        <v>46396</v>
      </c>
      <c r="E59" s="134" t="s">
        <v>127</v>
      </c>
      <c r="F59" s="71">
        <f t="shared" si="3"/>
        <v>123722.96</v>
      </c>
      <c r="G59" s="71">
        <f t="shared" ref="G59" si="13">G58</f>
        <v>5523.35</v>
      </c>
      <c r="H59" s="71">
        <f t="shared" si="0"/>
        <v>129246.31000000001</v>
      </c>
      <c r="I59" s="72">
        <f t="shared" si="1"/>
        <v>9915038.0249999817</v>
      </c>
      <c r="J59" s="53"/>
      <c r="K59" s="33"/>
      <c r="L59" s="38"/>
      <c r="M59" s="39"/>
    </row>
    <row r="60" spans="2:13" x14ac:dyDescent="0.2">
      <c r="B60" s="290">
        <v>35</v>
      </c>
      <c r="C60" s="265"/>
      <c r="D60" s="70">
        <f t="shared" ca="1" si="2"/>
        <v>46427</v>
      </c>
      <c r="E60" s="134" t="s">
        <v>128</v>
      </c>
      <c r="F60" s="71">
        <f t="shared" si="3"/>
        <v>123722.96</v>
      </c>
      <c r="G60" s="71">
        <f t="shared" ref="G60" si="14">G59</f>
        <v>5523.35</v>
      </c>
      <c r="H60" s="71">
        <f t="shared" si="0"/>
        <v>129246.31000000001</v>
      </c>
      <c r="I60" s="72">
        <f t="shared" si="1"/>
        <v>9785791.7149999812</v>
      </c>
      <c r="J60" s="53"/>
      <c r="K60" s="33"/>
      <c r="L60" s="38"/>
      <c r="M60" s="39"/>
    </row>
    <row r="61" spans="2:13" x14ac:dyDescent="0.2">
      <c r="B61" s="290">
        <v>36</v>
      </c>
      <c r="C61" s="265"/>
      <c r="D61" s="70">
        <f t="shared" ca="1" si="2"/>
        <v>46455</v>
      </c>
      <c r="E61" s="134" t="s">
        <v>129</v>
      </c>
      <c r="F61" s="71">
        <f t="shared" si="3"/>
        <v>123722.96</v>
      </c>
      <c r="G61" s="71">
        <f t="shared" ref="G61" si="15">G60</f>
        <v>5523.35</v>
      </c>
      <c r="H61" s="71">
        <f t="shared" si="0"/>
        <v>129246.31000000001</v>
      </c>
      <c r="I61" s="72">
        <f t="shared" si="1"/>
        <v>9656545.4049999807</v>
      </c>
      <c r="J61" s="53"/>
      <c r="K61" s="33"/>
      <c r="L61" s="38"/>
      <c r="M61" s="39"/>
    </row>
    <row r="62" spans="2:13" x14ac:dyDescent="0.2">
      <c r="B62" s="290">
        <v>37</v>
      </c>
      <c r="C62" s="265"/>
      <c r="D62" s="70">
        <f t="shared" ca="1" si="2"/>
        <v>46486</v>
      </c>
      <c r="E62" s="134" t="s">
        <v>130</v>
      </c>
      <c r="F62" s="71">
        <f t="shared" si="3"/>
        <v>123722.96</v>
      </c>
      <c r="G62" s="71">
        <f t="shared" ref="G62" si="16">G61</f>
        <v>5523.35</v>
      </c>
      <c r="H62" s="71">
        <f t="shared" si="0"/>
        <v>129246.31000000001</v>
      </c>
      <c r="I62" s="72">
        <f t="shared" si="1"/>
        <v>9527299.0949999802</v>
      </c>
      <c r="J62" s="53"/>
      <c r="K62" s="33"/>
      <c r="L62" s="38"/>
      <c r="M62" s="39"/>
    </row>
    <row r="63" spans="2:13" x14ac:dyDescent="0.2">
      <c r="B63" s="290">
        <v>38</v>
      </c>
      <c r="C63" s="265"/>
      <c r="D63" s="70">
        <f t="shared" ca="1" si="2"/>
        <v>46516</v>
      </c>
      <c r="E63" s="175" t="s">
        <v>131</v>
      </c>
      <c r="F63" s="71">
        <f t="shared" ref="F63:G63" si="17">F62</f>
        <v>123722.96</v>
      </c>
      <c r="G63" s="71">
        <f t="shared" si="17"/>
        <v>5523.35</v>
      </c>
      <c r="H63" s="71">
        <f t="shared" ref="H63:H74" si="18">SUM(F63:G63)</f>
        <v>129246.31000000001</v>
      </c>
      <c r="I63" s="72">
        <f t="shared" ref="I63:I75" si="19">I62-H63</f>
        <v>9398052.7849999797</v>
      </c>
      <c r="J63" s="53"/>
      <c r="K63" s="33"/>
      <c r="L63" s="38"/>
      <c r="M63" s="39"/>
    </row>
    <row r="64" spans="2:13" x14ac:dyDescent="0.2">
      <c r="B64" s="290">
        <v>39</v>
      </c>
      <c r="C64" s="265"/>
      <c r="D64" s="70">
        <f t="shared" ca="1" si="2"/>
        <v>46547</v>
      </c>
      <c r="E64" s="175" t="s">
        <v>132</v>
      </c>
      <c r="F64" s="71">
        <f t="shared" ref="F64:G64" si="20">F63</f>
        <v>123722.96</v>
      </c>
      <c r="G64" s="71">
        <f t="shared" si="20"/>
        <v>5523.35</v>
      </c>
      <c r="H64" s="71">
        <f t="shared" si="18"/>
        <v>129246.31000000001</v>
      </c>
      <c r="I64" s="72">
        <f t="shared" si="19"/>
        <v>9268806.4749999791</v>
      </c>
      <c r="J64" s="53"/>
      <c r="K64" s="33"/>
      <c r="L64" s="38"/>
      <c r="M64" s="39"/>
    </row>
    <row r="65" spans="2:18" x14ac:dyDescent="0.2">
      <c r="B65" s="290">
        <v>40</v>
      </c>
      <c r="C65" s="265"/>
      <c r="D65" s="70">
        <f t="shared" ca="1" si="2"/>
        <v>46577</v>
      </c>
      <c r="E65" s="175" t="s">
        <v>133</v>
      </c>
      <c r="F65" s="71">
        <f t="shared" ref="F65:G65" si="21">F64</f>
        <v>123722.96</v>
      </c>
      <c r="G65" s="71">
        <f t="shared" si="21"/>
        <v>5523.35</v>
      </c>
      <c r="H65" s="71">
        <f t="shared" si="18"/>
        <v>129246.31000000001</v>
      </c>
      <c r="I65" s="72">
        <f t="shared" si="19"/>
        <v>9139560.1649999786</v>
      </c>
      <c r="J65" s="53"/>
      <c r="K65" s="33"/>
      <c r="L65" s="38"/>
      <c r="M65" s="39"/>
    </row>
    <row r="66" spans="2:18" x14ac:dyDescent="0.2">
      <c r="B66" s="290">
        <v>41</v>
      </c>
      <c r="C66" s="265"/>
      <c r="D66" s="70">
        <f t="shared" ca="1" si="2"/>
        <v>46608</v>
      </c>
      <c r="E66" s="175" t="s">
        <v>134</v>
      </c>
      <c r="F66" s="71">
        <f t="shared" ref="F66:G66" si="22">F65</f>
        <v>123722.96</v>
      </c>
      <c r="G66" s="71">
        <f t="shared" si="22"/>
        <v>5523.35</v>
      </c>
      <c r="H66" s="71">
        <f t="shared" si="18"/>
        <v>129246.31000000001</v>
      </c>
      <c r="I66" s="72">
        <f t="shared" si="19"/>
        <v>9010313.8549999781</v>
      </c>
      <c r="J66" s="53"/>
      <c r="K66" s="33"/>
      <c r="L66" s="38"/>
      <c r="M66" s="39"/>
    </row>
    <row r="67" spans="2:18" x14ac:dyDescent="0.2">
      <c r="B67" s="290">
        <v>42</v>
      </c>
      <c r="C67" s="265"/>
      <c r="D67" s="70">
        <f t="shared" ca="1" si="2"/>
        <v>46639</v>
      </c>
      <c r="E67" s="175" t="s">
        <v>135</v>
      </c>
      <c r="F67" s="71">
        <f t="shared" ref="F67:G67" si="23">F66</f>
        <v>123722.96</v>
      </c>
      <c r="G67" s="71">
        <f t="shared" si="23"/>
        <v>5523.35</v>
      </c>
      <c r="H67" s="71">
        <f t="shared" si="18"/>
        <v>129246.31000000001</v>
      </c>
      <c r="I67" s="72">
        <f t="shared" si="19"/>
        <v>8881067.5449999776</v>
      </c>
      <c r="J67" s="53"/>
      <c r="K67" s="33"/>
      <c r="L67" s="38"/>
      <c r="M67" s="39"/>
    </row>
    <row r="68" spans="2:18" x14ac:dyDescent="0.2">
      <c r="B68" s="290">
        <v>43</v>
      </c>
      <c r="C68" s="265"/>
      <c r="D68" s="70">
        <f t="shared" ca="1" si="2"/>
        <v>46669</v>
      </c>
      <c r="E68" s="175" t="s">
        <v>136</v>
      </c>
      <c r="F68" s="71">
        <f t="shared" ref="F68:G68" si="24">F67</f>
        <v>123722.96</v>
      </c>
      <c r="G68" s="71">
        <f t="shared" si="24"/>
        <v>5523.35</v>
      </c>
      <c r="H68" s="71">
        <f t="shared" si="18"/>
        <v>129246.31000000001</v>
      </c>
      <c r="I68" s="72">
        <f t="shared" si="19"/>
        <v>8751821.2349999771</v>
      </c>
      <c r="J68" s="53"/>
      <c r="K68" s="33"/>
      <c r="L68" s="38"/>
      <c r="M68" s="39"/>
    </row>
    <row r="69" spans="2:18" x14ac:dyDescent="0.2">
      <c r="B69" s="290">
        <v>44</v>
      </c>
      <c r="C69" s="265"/>
      <c r="D69" s="70">
        <f t="shared" ca="1" si="2"/>
        <v>46700</v>
      </c>
      <c r="E69" s="175" t="s">
        <v>137</v>
      </c>
      <c r="F69" s="71">
        <f t="shared" ref="F69:G69" si="25">F68</f>
        <v>123722.96</v>
      </c>
      <c r="G69" s="71">
        <f t="shared" si="25"/>
        <v>5523.35</v>
      </c>
      <c r="H69" s="71">
        <f t="shared" si="18"/>
        <v>129246.31000000001</v>
      </c>
      <c r="I69" s="72">
        <f t="shared" si="19"/>
        <v>8622574.9249999765</v>
      </c>
      <c r="J69" s="53"/>
      <c r="K69" s="33"/>
      <c r="L69" s="38"/>
      <c r="M69" s="39"/>
    </row>
    <row r="70" spans="2:18" x14ac:dyDescent="0.2">
      <c r="B70" s="290">
        <v>45</v>
      </c>
      <c r="C70" s="265"/>
      <c r="D70" s="70">
        <f t="shared" ca="1" si="2"/>
        <v>46730</v>
      </c>
      <c r="E70" s="175" t="s">
        <v>138</v>
      </c>
      <c r="F70" s="71">
        <f t="shared" ref="F70:G70" si="26">F69</f>
        <v>123722.96</v>
      </c>
      <c r="G70" s="71">
        <f t="shared" si="26"/>
        <v>5523.35</v>
      </c>
      <c r="H70" s="71">
        <f t="shared" si="18"/>
        <v>129246.31000000001</v>
      </c>
      <c r="I70" s="72">
        <f t="shared" si="19"/>
        <v>8493328.614999976</v>
      </c>
      <c r="J70" s="53"/>
      <c r="K70" s="33"/>
      <c r="L70" s="38"/>
      <c r="M70" s="39"/>
    </row>
    <row r="71" spans="2:18" x14ac:dyDescent="0.2">
      <c r="B71" s="290">
        <v>46</v>
      </c>
      <c r="C71" s="265"/>
      <c r="D71" s="70">
        <f t="shared" ca="1" si="2"/>
        <v>46761</v>
      </c>
      <c r="E71" s="175" t="s">
        <v>139</v>
      </c>
      <c r="F71" s="71">
        <f t="shared" ref="F71:G71" si="27">F70</f>
        <v>123722.96</v>
      </c>
      <c r="G71" s="71">
        <f t="shared" si="27"/>
        <v>5523.35</v>
      </c>
      <c r="H71" s="71">
        <f t="shared" si="18"/>
        <v>129246.31000000001</v>
      </c>
      <c r="I71" s="72">
        <f t="shared" si="19"/>
        <v>8364082.3049999764</v>
      </c>
      <c r="J71" s="53"/>
      <c r="K71" s="33"/>
      <c r="L71" s="38"/>
      <c r="M71" s="39"/>
    </row>
    <row r="72" spans="2:18" x14ac:dyDescent="0.2">
      <c r="B72" s="290">
        <v>47</v>
      </c>
      <c r="C72" s="265"/>
      <c r="D72" s="70">
        <f t="shared" ca="1" si="2"/>
        <v>46792</v>
      </c>
      <c r="E72" s="175" t="s">
        <v>140</v>
      </c>
      <c r="F72" s="71">
        <f t="shared" ref="F72:G72" si="28">F71</f>
        <v>123722.96</v>
      </c>
      <c r="G72" s="71">
        <f t="shared" si="28"/>
        <v>5523.35</v>
      </c>
      <c r="H72" s="71">
        <f t="shared" si="18"/>
        <v>129246.31000000001</v>
      </c>
      <c r="I72" s="72">
        <f t="shared" si="19"/>
        <v>8234835.9949999768</v>
      </c>
      <c r="J72" s="53"/>
      <c r="K72" s="33"/>
      <c r="L72" s="38"/>
      <c r="M72" s="39"/>
    </row>
    <row r="73" spans="2:18" x14ac:dyDescent="0.2">
      <c r="B73" s="290">
        <v>48</v>
      </c>
      <c r="C73" s="265"/>
      <c r="D73" s="70">
        <f t="shared" ca="1" si="2"/>
        <v>46821</v>
      </c>
      <c r="E73" s="175" t="s">
        <v>141</v>
      </c>
      <c r="F73" s="71">
        <f t="shared" ref="F73:G73" si="29">F72</f>
        <v>123722.96</v>
      </c>
      <c r="G73" s="71">
        <f t="shared" si="29"/>
        <v>5523.35</v>
      </c>
      <c r="H73" s="71">
        <f t="shared" si="18"/>
        <v>129246.31000000001</v>
      </c>
      <c r="I73" s="72">
        <f t="shared" si="19"/>
        <v>8105589.6849999772</v>
      </c>
      <c r="J73" s="53"/>
      <c r="K73" s="33"/>
      <c r="L73" s="38"/>
      <c r="M73" s="39"/>
    </row>
    <row r="74" spans="2:18" x14ac:dyDescent="0.2">
      <c r="B74" s="290">
        <v>49</v>
      </c>
      <c r="C74" s="265"/>
      <c r="D74" s="70">
        <f t="shared" ca="1" si="2"/>
        <v>46852</v>
      </c>
      <c r="E74" s="175" t="s">
        <v>142</v>
      </c>
      <c r="F74" s="71">
        <f t="shared" ref="F74" si="30">F73</f>
        <v>123722.96</v>
      </c>
      <c r="G74" s="71">
        <f>G73</f>
        <v>5523.35</v>
      </c>
      <c r="H74" s="71">
        <f t="shared" si="18"/>
        <v>129246.31000000001</v>
      </c>
      <c r="I74" s="72">
        <f t="shared" si="19"/>
        <v>7976343.3749999776</v>
      </c>
      <c r="J74" s="53"/>
      <c r="K74" s="33"/>
      <c r="L74" s="38"/>
      <c r="M74" s="39"/>
    </row>
    <row r="75" spans="2:18" ht="15.75" thickBot="1" x14ac:dyDescent="0.25">
      <c r="B75" s="290">
        <v>50</v>
      </c>
      <c r="C75" s="265"/>
      <c r="D75" s="70">
        <f t="shared" ca="1" si="2"/>
        <v>46882</v>
      </c>
      <c r="E75" s="140" t="s">
        <v>143</v>
      </c>
      <c r="F75" s="100">
        <f>(D21-D20)*45%</f>
        <v>7635474</v>
      </c>
      <c r="G75" s="100">
        <f>(D20*45%)</f>
        <v>340869.375</v>
      </c>
      <c r="H75" s="100">
        <f>SUM(F75:G75)</f>
        <v>7976343.375</v>
      </c>
      <c r="I75" s="72">
        <f t="shared" si="19"/>
        <v>-2.2351741790771484E-8</v>
      </c>
      <c r="J75" s="53"/>
      <c r="K75" s="33"/>
      <c r="L75" s="38"/>
      <c r="M75" s="39"/>
    </row>
    <row r="76" spans="2:18" ht="15.75" thickBot="1" x14ac:dyDescent="0.25">
      <c r="B76" s="54"/>
      <c r="C76" s="55"/>
      <c r="D76" s="56"/>
      <c r="E76" s="57" t="s">
        <v>81</v>
      </c>
      <c r="F76" s="121">
        <f>SUM(F24:F75)</f>
        <v>16967720.000000007</v>
      </c>
      <c r="G76" s="121">
        <f>SUM(G26:G75)</f>
        <v>757487.4999999993</v>
      </c>
      <c r="H76" s="58">
        <f>SUM(H24:H75)</f>
        <v>17725207.499999993</v>
      </c>
      <c r="I76" s="59"/>
      <c r="J76" s="33"/>
      <c r="K76" s="33"/>
      <c r="L76" s="38">
        <f>SUM(L24:L75)</f>
        <v>56000</v>
      </c>
      <c r="M76" s="39">
        <f>L76-H76</f>
        <v>-17669207.499999993</v>
      </c>
    </row>
    <row r="77" spans="2:18" x14ac:dyDescent="0.2">
      <c r="D77" s="60"/>
      <c r="L77" s="61"/>
    </row>
    <row r="78" spans="2:18" x14ac:dyDescent="0.2">
      <c r="B78" s="62" t="s">
        <v>82</v>
      </c>
      <c r="C78" s="62"/>
      <c r="D78" s="60"/>
      <c r="M78" s="33"/>
      <c r="N78" s="38"/>
      <c r="O78" s="33"/>
      <c r="P78" s="33"/>
      <c r="R78" s="65"/>
    </row>
    <row r="79" spans="2:18" ht="15" customHeight="1" x14ac:dyDescent="0.2">
      <c r="B79" s="261" t="s">
        <v>266</v>
      </c>
      <c r="C79" s="261"/>
      <c r="D79" s="261"/>
      <c r="E79" s="261"/>
      <c r="F79" s="261"/>
      <c r="G79" s="261"/>
      <c r="H79" s="261"/>
      <c r="I79" s="261"/>
      <c r="J79" s="111"/>
      <c r="K79" s="111"/>
      <c r="M79" s="33"/>
      <c r="N79" s="33"/>
      <c r="O79" s="33"/>
      <c r="P79" s="33"/>
      <c r="R79" s="65"/>
    </row>
    <row r="80" spans="2:18" ht="15" customHeight="1" x14ac:dyDescent="0.2">
      <c r="B80" s="261"/>
      <c r="C80" s="261"/>
      <c r="D80" s="261"/>
      <c r="E80" s="261"/>
      <c r="F80" s="261"/>
      <c r="G80" s="261"/>
      <c r="H80" s="261"/>
      <c r="I80" s="261"/>
      <c r="J80" s="260"/>
      <c r="K80" s="260"/>
      <c r="M80" s="33"/>
      <c r="N80" s="33"/>
      <c r="O80" s="33"/>
      <c r="P80" s="33"/>
      <c r="R80" s="65"/>
    </row>
    <row r="81" spans="1:18" ht="15" customHeight="1" x14ac:dyDescent="0.2">
      <c r="B81" s="261"/>
      <c r="C81" s="261"/>
      <c r="D81" s="261"/>
      <c r="E81" s="261"/>
      <c r="F81" s="261"/>
      <c r="G81" s="261"/>
      <c r="H81" s="261"/>
      <c r="I81" s="261"/>
      <c r="J81" s="260"/>
      <c r="K81" s="260"/>
      <c r="M81" s="33"/>
      <c r="N81" s="33"/>
      <c r="O81" s="33"/>
      <c r="P81" s="33"/>
      <c r="R81" s="65"/>
    </row>
    <row r="82" spans="1:18" x14ac:dyDescent="0.2">
      <c r="B82" s="261"/>
      <c r="C82" s="261"/>
      <c r="D82" s="261"/>
      <c r="E82" s="261"/>
      <c r="F82" s="261"/>
      <c r="G82" s="261"/>
      <c r="H82" s="261"/>
      <c r="I82" s="261"/>
      <c r="J82" s="260"/>
      <c r="K82" s="260"/>
      <c r="M82" s="33"/>
      <c r="N82" s="33"/>
      <c r="O82" s="33"/>
      <c r="P82" s="33"/>
      <c r="R82" s="65"/>
    </row>
    <row r="83" spans="1:18" ht="58.5" customHeight="1" x14ac:dyDescent="0.2">
      <c r="B83" s="261"/>
      <c r="C83" s="261"/>
      <c r="D83" s="261"/>
      <c r="E83" s="261"/>
      <c r="F83" s="261"/>
      <c r="G83" s="261"/>
      <c r="H83" s="261"/>
      <c r="I83" s="261"/>
      <c r="J83" s="260"/>
      <c r="K83" s="260"/>
      <c r="M83" s="33"/>
      <c r="N83" s="33"/>
      <c r="O83" s="33"/>
      <c r="P83" s="33"/>
      <c r="R83" s="65"/>
    </row>
    <row r="84" spans="1:18" ht="6.75" hidden="1" customHeight="1" x14ac:dyDescent="0.2">
      <c r="B84" s="261"/>
      <c r="C84" s="261"/>
      <c r="D84" s="261"/>
      <c r="E84" s="261"/>
      <c r="F84" s="261"/>
      <c r="G84" s="261"/>
      <c r="H84" s="261"/>
      <c r="I84" s="261"/>
      <c r="J84" s="260"/>
      <c r="K84" s="260"/>
      <c r="M84" s="33"/>
      <c r="N84" s="33"/>
      <c r="O84" s="33"/>
      <c r="P84" s="33"/>
      <c r="R84" s="65"/>
    </row>
    <row r="85" spans="1:18" ht="49.5" customHeight="1" x14ac:dyDescent="0.2">
      <c r="B85" s="261"/>
      <c r="C85" s="261"/>
      <c r="D85" s="261"/>
      <c r="E85" s="261"/>
      <c r="F85" s="261"/>
      <c r="G85" s="261"/>
      <c r="H85" s="261"/>
      <c r="I85" s="261"/>
      <c r="J85" s="260"/>
      <c r="K85" s="260"/>
      <c r="M85" s="33"/>
      <c r="N85" s="33"/>
      <c r="O85" s="33"/>
      <c r="P85" s="33"/>
      <c r="R85" s="65"/>
    </row>
    <row r="86" spans="1:18" ht="7.5" hidden="1" customHeight="1" x14ac:dyDescent="0.2">
      <c r="B86" s="261"/>
      <c r="C86" s="261"/>
      <c r="D86" s="261"/>
      <c r="E86" s="261"/>
      <c r="F86" s="261"/>
      <c r="G86" s="261"/>
      <c r="H86" s="261"/>
      <c r="I86" s="261"/>
      <c r="J86" s="260"/>
      <c r="K86" s="260"/>
      <c r="M86" s="33"/>
      <c r="N86" s="33"/>
      <c r="O86" s="33"/>
      <c r="P86" s="33"/>
      <c r="R86" s="65"/>
    </row>
    <row r="87" spans="1:18" ht="58.5" customHeight="1" x14ac:dyDescent="0.2">
      <c r="B87" s="261"/>
      <c r="C87" s="261"/>
      <c r="D87" s="261"/>
      <c r="E87" s="261"/>
      <c r="F87" s="261"/>
      <c r="G87" s="261"/>
      <c r="H87" s="261"/>
      <c r="I87" s="261"/>
      <c r="J87" s="260"/>
      <c r="K87" s="260"/>
      <c r="M87" s="33"/>
      <c r="N87" s="33"/>
      <c r="O87" s="33"/>
      <c r="P87" s="33"/>
      <c r="R87" s="65"/>
    </row>
    <row r="88" spans="1:18" hidden="1" x14ac:dyDescent="0.2">
      <c r="B88" s="63"/>
      <c r="C88" s="63"/>
      <c r="M88" s="33"/>
      <c r="N88" s="33"/>
      <c r="O88" s="33"/>
      <c r="P88" s="33"/>
      <c r="R88" s="65"/>
    </row>
    <row r="89" spans="1:18" hidden="1" x14ac:dyDescent="0.2">
      <c r="B89" s="64"/>
      <c r="C89" s="64"/>
      <c r="M89" s="33"/>
      <c r="N89" s="33"/>
      <c r="O89" s="33"/>
      <c r="P89" s="33"/>
      <c r="R89" s="65"/>
    </row>
    <row r="90" spans="1:18" hidden="1" x14ac:dyDescent="0.2">
      <c r="B90" s="64"/>
      <c r="C90" s="64"/>
      <c r="M90" s="33"/>
      <c r="N90" s="33"/>
      <c r="O90" s="33"/>
      <c r="P90" s="33"/>
      <c r="R90" s="65"/>
    </row>
    <row r="91" spans="1:18" hidden="1" x14ac:dyDescent="0.2">
      <c r="B91" s="64"/>
      <c r="C91" s="64"/>
      <c r="M91" s="33"/>
      <c r="N91" s="33"/>
      <c r="O91" s="33"/>
      <c r="P91" s="33"/>
      <c r="R91" s="65"/>
    </row>
    <row r="92" spans="1:18" hidden="1" x14ac:dyDescent="0.2">
      <c r="B92" s="64"/>
      <c r="C92" s="64"/>
      <c r="M92" s="33"/>
      <c r="N92" s="33"/>
      <c r="O92" s="33"/>
      <c r="P92" s="33"/>
      <c r="R92" s="65"/>
    </row>
    <row r="93" spans="1:18" s="65" customFormat="1" hidden="1" x14ac:dyDescent="0.2">
      <c r="A93" s="22"/>
      <c r="B93" s="64"/>
      <c r="C93" s="64"/>
      <c r="M93" s="33"/>
      <c r="N93" s="33"/>
      <c r="O93" s="33"/>
      <c r="P93" s="33"/>
    </row>
    <row r="94" spans="1:18" hidden="1" x14ac:dyDescent="0.2">
      <c r="M94" s="33"/>
      <c r="N94" s="33"/>
      <c r="O94" s="33"/>
      <c r="P94" s="33"/>
      <c r="R94" s="65"/>
    </row>
    <row r="95" spans="1:18" x14ac:dyDescent="0.2">
      <c r="B95" s="66" t="s">
        <v>84</v>
      </c>
      <c r="C95" s="66"/>
      <c r="M95" s="33"/>
      <c r="N95" s="33"/>
      <c r="O95" s="33"/>
      <c r="P95" s="33"/>
      <c r="R95" s="65"/>
    </row>
    <row r="96" spans="1:18" x14ac:dyDescent="0.2">
      <c r="M96" s="33"/>
      <c r="N96" s="33"/>
      <c r="O96" s="33"/>
      <c r="P96" s="33"/>
      <c r="R96" s="65"/>
    </row>
    <row r="97" spans="2:30" x14ac:dyDescent="0.2">
      <c r="M97" s="33"/>
      <c r="N97" s="33"/>
      <c r="O97" s="33"/>
      <c r="P97" s="33"/>
      <c r="R97" s="65"/>
    </row>
    <row r="98" spans="2:30" x14ac:dyDescent="0.2">
      <c r="B98" s="259" t="s">
        <v>85</v>
      </c>
      <c r="C98" s="259"/>
      <c r="D98" s="259"/>
      <c r="F98" s="259" t="s">
        <v>86</v>
      </c>
      <c r="G98" s="259"/>
      <c r="H98" s="259"/>
      <c r="I98" s="259"/>
      <c r="J98" s="259"/>
      <c r="K98" s="259"/>
      <c r="M98" s="33"/>
      <c r="N98" s="33"/>
      <c r="O98" s="33"/>
      <c r="P98" s="33"/>
      <c r="R98" s="65"/>
    </row>
    <row r="99" spans="2:30" x14ac:dyDescent="0.2">
      <c r="M99" s="33"/>
      <c r="N99" s="33"/>
      <c r="O99" s="33"/>
      <c r="P99" s="33"/>
      <c r="R99" s="65"/>
    </row>
    <row r="100" spans="2:30" x14ac:dyDescent="0.2">
      <c r="B100" s="67"/>
      <c r="C100" s="67"/>
      <c r="D100" s="67"/>
      <c r="E100" s="67"/>
      <c r="F100" s="67"/>
      <c r="G100" s="67"/>
      <c r="H100" s="67"/>
      <c r="I100" s="67"/>
      <c r="J100" s="67"/>
      <c r="K100" s="67"/>
      <c r="L100" s="33"/>
      <c r="M100" s="33"/>
      <c r="N100" s="33"/>
      <c r="O100" s="33"/>
      <c r="P100" s="33"/>
      <c r="R100" s="65"/>
      <c r="S100" s="33"/>
      <c r="T100" s="33"/>
      <c r="U100" s="33"/>
      <c r="V100" s="31"/>
      <c r="W100" s="31"/>
      <c r="X100" s="31"/>
      <c r="Y100" s="31"/>
      <c r="Z100" s="31"/>
      <c r="AA100" s="31"/>
      <c r="AB100" s="31"/>
      <c r="AC100" s="31"/>
      <c r="AD100" s="31"/>
    </row>
    <row r="101" spans="2:30" x14ac:dyDescent="0.2">
      <c r="B101" s="67"/>
      <c r="C101" s="67"/>
      <c r="D101" s="67"/>
      <c r="E101" s="67"/>
      <c r="F101" s="67"/>
      <c r="G101" s="67"/>
      <c r="H101" s="67"/>
      <c r="I101" s="67"/>
      <c r="J101" s="33"/>
      <c r="K101" s="33"/>
      <c r="M101" s="33"/>
      <c r="N101" s="33"/>
      <c r="O101" s="33"/>
      <c r="P101" s="33"/>
      <c r="R101" s="65"/>
    </row>
    <row r="102" spans="2:30" x14ac:dyDescent="0.2">
      <c r="N102" s="22"/>
      <c r="O102" s="22"/>
      <c r="P102" s="22"/>
      <c r="Q102" s="22"/>
    </row>
    <row r="103" spans="2:30" x14ac:dyDescent="0.2">
      <c r="B103" s="67"/>
      <c r="C103" s="67"/>
      <c r="D103" s="67"/>
      <c r="E103" s="67"/>
      <c r="F103" s="67"/>
      <c r="G103" s="67"/>
      <c r="H103" s="67"/>
      <c r="I103" s="67"/>
      <c r="J103" s="33"/>
      <c r="K103" s="33"/>
      <c r="L103" s="33"/>
      <c r="M103" s="33"/>
      <c r="N103" s="33"/>
      <c r="O103" s="33"/>
      <c r="P103" s="33"/>
      <c r="Q103" s="33"/>
      <c r="R103" s="33"/>
      <c r="S103" s="33"/>
      <c r="T103" s="31"/>
      <c r="U103" s="31"/>
      <c r="V103" s="31"/>
      <c r="W103" s="31"/>
      <c r="X103" s="31"/>
      <c r="Y103" s="31"/>
      <c r="Z103" s="31"/>
      <c r="AA103" s="31"/>
      <c r="AB103" s="31"/>
    </row>
    <row r="104" spans="2:30" x14ac:dyDescent="0.2">
      <c r="B104" s="67"/>
      <c r="C104" s="67"/>
      <c r="D104" s="67"/>
      <c r="E104" s="67"/>
      <c r="F104" s="67"/>
      <c r="G104" s="67"/>
      <c r="H104" s="67"/>
      <c r="I104" s="67"/>
      <c r="J104" s="33"/>
      <c r="K104" s="33"/>
      <c r="L104" s="33"/>
      <c r="M104" s="33"/>
      <c r="N104" s="33"/>
      <c r="O104" s="33"/>
      <c r="P104" s="33"/>
      <c r="Q104" s="33"/>
      <c r="R104" s="33"/>
      <c r="S104" s="33"/>
      <c r="T104" s="31"/>
      <c r="U104" s="31"/>
      <c r="V104" s="31"/>
      <c r="W104" s="31"/>
      <c r="X104" s="31"/>
      <c r="Y104" s="31"/>
      <c r="Z104" s="31"/>
      <c r="AA104" s="31"/>
      <c r="AB104" s="31"/>
    </row>
    <row r="105" spans="2:30" x14ac:dyDescent="0.2">
      <c r="B105" s="67"/>
      <c r="C105" s="67"/>
      <c r="D105" s="67"/>
      <c r="E105" s="67"/>
      <c r="F105" s="67"/>
      <c r="G105" s="67"/>
      <c r="H105" s="67"/>
      <c r="I105" s="67"/>
    </row>
    <row r="106" spans="2:30" x14ac:dyDescent="0.2">
      <c r="B106" s="67"/>
      <c r="C106" s="67"/>
      <c r="D106" s="67"/>
      <c r="E106" s="67"/>
      <c r="F106" s="67"/>
      <c r="G106" s="67"/>
      <c r="H106" s="67"/>
      <c r="I106" s="67"/>
    </row>
    <row r="107" spans="2:30" x14ac:dyDescent="0.2">
      <c r="B107" s="262" t="s">
        <v>144</v>
      </c>
      <c r="C107" s="262"/>
      <c r="D107" s="262"/>
      <c r="E107" s="262"/>
      <c r="F107" s="262"/>
      <c r="G107" s="262"/>
      <c r="H107" s="262"/>
      <c r="I107" s="262"/>
      <c r="J107" s="68"/>
    </row>
    <row r="108" spans="2:30" x14ac:dyDescent="0.2">
      <c r="B108" s="263" t="s">
        <v>145</v>
      </c>
      <c r="C108" s="263"/>
      <c r="D108" s="263"/>
      <c r="E108" s="263"/>
      <c r="F108" s="263"/>
      <c r="G108" s="263"/>
      <c r="H108" s="263"/>
      <c r="I108" s="263"/>
      <c r="J108" s="68"/>
    </row>
    <row r="109" spans="2:30" x14ac:dyDescent="0.2">
      <c r="B109" s="262" t="s">
        <v>146</v>
      </c>
      <c r="C109" s="262"/>
      <c r="D109" s="262"/>
      <c r="E109" s="262"/>
      <c r="F109" s="262"/>
      <c r="G109" s="262"/>
      <c r="H109" s="262"/>
      <c r="I109" s="262"/>
      <c r="J109" s="68"/>
    </row>
    <row r="110" spans="2:30" x14ac:dyDescent="0.2">
      <c r="B110" s="262" t="s">
        <v>147</v>
      </c>
      <c r="C110" s="262"/>
      <c r="D110" s="262"/>
      <c r="E110" s="262"/>
      <c r="F110" s="262"/>
      <c r="G110" s="262"/>
      <c r="H110" s="262"/>
      <c r="I110" s="262"/>
      <c r="J110" s="68"/>
    </row>
    <row r="111" spans="2:30" x14ac:dyDescent="0.2">
      <c r="B111" s="262" t="s">
        <v>148</v>
      </c>
      <c r="C111" s="262"/>
      <c r="D111" s="262"/>
      <c r="E111" s="262"/>
      <c r="F111" s="262"/>
      <c r="G111" s="262"/>
      <c r="H111" s="262"/>
      <c r="I111" s="262"/>
      <c r="J111" s="68"/>
    </row>
    <row r="112" spans="2:30" x14ac:dyDescent="0.2">
      <c r="B112" s="68"/>
      <c r="C112" s="68"/>
      <c r="D112" s="68"/>
      <c r="E112" s="68"/>
      <c r="F112" s="68"/>
      <c r="G112" s="68"/>
      <c r="H112" s="68"/>
      <c r="I112" s="68"/>
      <c r="J112" s="68"/>
    </row>
    <row r="113" spans="2:9" x14ac:dyDescent="0.2">
      <c r="B113" s="67"/>
      <c r="C113" s="67"/>
      <c r="D113" s="67"/>
      <c r="E113" s="67"/>
      <c r="F113" s="67"/>
      <c r="G113" s="67"/>
      <c r="H113" s="67"/>
      <c r="I113" s="67"/>
    </row>
    <row r="114" spans="2:9" x14ac:dyDescent="0.2">
      <c r="B114" s="67"/>
      <c r="C114" s="67"/>
      <c r="D114" s="67"/>
      <c r="E114" s="67"/>
      <c r="F114" s="67"/>
      <c r="G114" s="67"/>
      <c r="H114" s="67"/>
      <c r="I114" s="67"/>
    </row>
    <row r="115" spans="2:9" x14ac:dyDescent="0.2">
      <c r="B115" s="67"/>
      <c r="C115" s="67"/>
      <c r="D115" s="67"/>
      <c r="E115" s="67"/>
      <c r="F115" s="67"/>
      <c r="G115" s="67"/>
      <c r="H115" s="67"/>
      <c r="I115" s="67"/>
    </row>
    <row r="116" spans="2:9" x14ac:dyDescent="0.2">
      <c r="B116" s="67"/>
      <c r="C116" s="67"/>
      <c r="D116" s="67"/>
      <c r="E116" s="67"/>
      <c r="F116" s="67"/>
      <c r="G116" s="67"/>
      <c r="H116" s="67"/>
      <c r="I116" s="67"/>
    </row>
  </sheetData>
  <sheetProtection password="C931" sheet="1" selectLockedCells="1"/>
  <mergeCells count="78">
    <mergeCell ref="B73:C73"/>
    <mergeCell ref="B74:C74"/>
    <mergeCell ref="B68:C68"/>
    <mergeCell ref="B69:C69"/>
    <mergeCell ref="B70:C70"/>
    <mergeCell ref="B71:C71"/>
    <mergeCell ref="B72:C72"/>
    <mergeCell ref="B63:C63"/>
    <mergeCell ref="B64:C64"/>
    <mergeCell ref="B65:C65"/>
    <mergeCell ref="B66:C66"/>
    <mergeCell ref="B67:C67"/>
    <mergeCell ref="B33:C33"/>
    <mergeCell ref="C10:D10"/>
    <mergeCell ref="C12:D12"/>
    <mergeCell ref="B23:C23"/>
    <mergeCell ref="B24:C24"/>
    <mergeCell ref="B26:C26"/>
    <mergeCell ref="B27:C27"/>
    <mergeCell ref="B28:C28"/>
    <mergeCell ref="B29:C29"/>
    <mergeCell ref="B30:C30"/>
    <mergeCell ref="B31:C31"/>
    <mergeCell ref="B32:C32"/>
    <mergeCell ref="B10:B12"/>
    <mergeCell ref="B25:C25"/>
    <mergeCell ref="C9:D9"/>
    <mergeCell ref="L1:L3"/>
    <mergeCell ref="I2:I3"/>
    <mergeCell ref="C6:D6"/>
    <mergeCell ref="C7:D7"/>
    <mergeCell ref="C8:D8"/>
    <mergeCell ref="B45:C45"/>
    <mergeCell ref="B34:C34"/>
    <mergeCell ref="B35:C35"/>
    <mergeCell ref="B36:C36"/>
    <mergeCell ref="B37:C37"/>
    <mergeCell ref="B38:C38"/>
    <mergeCell ref="B39:C39"/>
    <mergeCell ref="B40:C40"/>
    <mergeCell ref="B41:C41"/>
    <mergeCell ref="B42:C42"/>
    <mergeCell ref="B43:C43"/>
    <mergeCell ref="B44:C44"/>
    <mergeCell ref="B57:C57"/>
    <mergeCell ref="B46:C46"/>
    <mergeCell ref="B47:C47"/>
    <mergeCell ref="B48:C48"/>
    <mergeCell ref="B49:C49"/>
    <mergeCell ref="B50:C50"/>
    <mergeCell ref="B51:C51"/>
    <mergeCell ref="B52:C52"/>
    <mergeCell ref="B53:C53"/>
    <mergeCell ref="B54:C54"/>
    <mergeCell ref="B55:C55"/>
    <mergeCell ref="B56:C56"/>
    <mergeCell ref="B58:C58"/>
    <mergeCell ref="B59:C59"/>
    <mergeCell ref="B60:C60"/>
    <mergeCell ref="B61:C61"/>
    <mergeCell ref="B62:C62"/>
    <mergeCell ref="B111:I111"/>
    <mergeCell ref="B107:I107"/>
    <mergeCell ref="B108:I108"/>
    <mergeCell ref="B98:D98"/>
    <mergeCell ref="F98:K98"/>
    <mergeCell ref="J87:K87"/>
    <mergeCell ref="B75:C75"/>
    <mergeCell ref="B79:I87"/>
    <mergeCell ref="B109:I109"/>
    <mergeCell ref="B110:I110"/>
    <mergeCell ref="J80:K80"/>
    <mergeCell ref="J81:K81"/>
    <mergeCell ref="J82:K82"/>
    <mergeCell ref="J83:K83"/>
    <mergeCell ref="J84:K84"/>
    <mergeCell ref="J85:K85"/>
    <mergeCell ref="J86:K86"/>
  </mergeCells>
  <hyperlinks>
    <hyperlink ref="L4" location="Input!A1" display="Return to Input" xr:uid="{00000000-0004-0000-0600-000000000000}"/>
  </hyperlinks>
  <printOptions horizontalCentered="1" verticalCentered="1"/>
  <pageMargins left="0.39370078740157483" right="0.39370078740157483" top="0" bottom="0" header="0.31496062992125984" footer="0.31496062992125984"/>
  <pageSetup paperSize="14" scale="56" orientation="portrait" verticalDpi="4294967293"/>
  <rowBreaks count="1" manualBreakCount="1">
    <brk id="76" min="1" max="8"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50"/>
    <pageSetUpPr fitToPage="1"/>
  </sheetPr>
  <dimension ref="A1:AB107"/>
  <sheetViews>
    <sheetView topLeftCell="A4" zoomScale="115" zoomScaleNormal="115" zoomScalePageLayoutView="115" workbookViewId="0">
      <selection activeCell="L4" sqref="L4"/>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5.4687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f>INPUT!D47</f>
        <v>17314000</v>
      </c>
      <c r="D9" s="281"/>
      <c r="L9" s="31"/>
      <c r="M9" s="31"/>
      <c r="N9" s="31"/>
    </row>
    <row r="10" spans="2:28" x14ac:dyDescent="0.2">
      <c r="B10" s="278" t="s">
        <v>62</v>
      </c>
      <c r="C10" s="270" t="s">
        <v>151</v>
      </c>
      <c r="D10" s="271"/>
      <c r="L10" s="31"/>
      <c r="M10" s="31"/>
      <c r="N10" s="31"/>
    </row>
    <row r="11" spans="2:28" x14ac:dyDescent="0.2">
      <c r="B11" s="278"/>
      <c r="C11" s="138" t="s">
        <v>263</v>
      </c>
      <c r="D11" s="139"/>
      <c r="L11" s="31"/>
      <c r="M11" s="31"/>
      <c r="N11" s="31"/>
    </row>
    <row r="12" spans="2:28" ht="15.75" thickBot="1" x14ac:dyDescent="0.25">
      <c r="B12" s="279"/>
      <c r="C12" s="272" t="s">
        <v>156</v>
      </c>
      <c r="D12" s="273"/>
      <c r="L12" s="31"/>
      <c r="M12" s="31"/>
      <c r="N12" s="31"/>
    </row>
    <row r="13" spans="2:28" x14ac:dyDescent="0.2">
      <c r="E13" s="33"/>
      <c r="F13" s="33"/>
      <c r="G13" s="33"/>
      <c r="H13" s="33"/>
      <c r="I13" s="33"/>
      <c r="J13" s="33"/>
      <c r="K13" s="33"/>
      <c r="L13" s="86" t="s">
        <v>150</v>
      </c>
      <c r="M13" s="87">
        <v>0.02</v>
      </c>
      <c r="N13" s="33"/>
    </row>
    <row r="14" spans="2:28" x14ac:dyDescent="0.2">
      <c r="B14" s="34" t="s">
        <v>64</v>
      </c>
      <c r="C14" s="34"/>
      <c r="E14" s="33"/>
      <c r="F14" s="33"/>
      <c r="G14" s="33"/>
      <c r="H14" s="33"/>
      <c r="I14" s="33"/>
      <c r="J14" s="33"/>
      <c r="K14" s="33"/>
      <c r="L14" s="33"/>
      <c r="M14" s="87">
        <v>0</v>
      </c>
      <c r="N14" s="33"/>
    </row>
    <row r="15" spans="2:28" x14ac:dyDescent="0.2">
      <c r="B15" s="35" t="s">
        <v>65</v>
      </c>
      <c r="C15" s="36"/>
      <c r="D15" s="37">
        <f>C9</f>
        <v>17314000</v>
      </c>
      <c r="E15" s="38" t="str">
        <f>C10</f>
        <v>10% Spot DP</v>
      </c>
      <c r="F15" s="39" t="e">
        <f>D15-E15</f>
        <v>#VALUE!</v>
      </c>
      <c r="G15" s="33"/>
      <c r="H15" s="33"/>
      <c r="I15" s="95"/>
      <c r="J15" s="33"/>
      <c r="K15" s="33"/>
      <c r="L15" s="33"/>
      <c r="M15" s="33"/>
      <c r="N15" s="33"/>
      <c r="O15" s="33"/>
      <c r="P15" s="33"/>
      <c r="Q15" s="33"/>
      <c r="R15" s="33"/>
      <c r="S15" s="33"/>
      <c r="T15" s="31"/>
      <c r="U15" s="31"/>
      <c r="V15" s="31"/>
      <c r="W15" s="31"/>
      <c r="X15" s="31"/>
      <c r="Y15" s="31"/>
      <c r="Z15" s="31"/>
    </row>
    <row r="16" spans="2:28" x14ac:dyDescent="0.2">
      <c r="B16" s="115"/>
      <c r="C16" s="41"/>
      <c r="D16" s="42"/>
      <c r="E16" s="43"/>
      <c r="F16" s="39"/>
      <c r="G16" s="39"/>
      <c r="H16" s="39"/>
      <c r="I16" s="33"/>
      <c r="J16" s="33"/>
      <c r="K16" s="95"/>
      <c r="L16" s="33"/>
      <c r="M16" s="33"/>
      <c r="N16" s="33"/>
      <c r="O16" s="33"/>
      <c r="P16" s="33"/>
      <c r="Q16" s="65"/>
      <c r="R16" s="65"/>
      <c r="S16" s="33"/>
      <c r="T16" s="33"/>
      <c r="U16" s="33"/>
      <c r="V16" s="31"/>
      <c r="W16" s="31"/>
      <c r="X16" s="31"/>
      <c r="Y16" s="31"/>
      <c r="Z16" s="31"/>
      <c r="AA16" s="31"/>
      <c r="AB16" s="31"/>
    </row>
    <row r="17" spans="2:28" hidden="1" x14ac:dyDescent="0.2">
      <c r="B17" s="115"/>
      <c r="C17" s="69"/>
      <c r="D17" s="42"/>
      <c r="E17" s="43"/>
      <c r="F17" s="39"/>
      <c r="G17" s="39"/>
      <c r="H17" s="39"/>
      <c r="I17" s="33"/>
      <c r="J17" s="33"/>
      <c r="K17" s="95"/>
      <c r="L17" s="33"/>
      <c r="M17" s="33"/>
      <c r="N17" s="33"/>
      <c r="O17" s="33"/>
      <c r="P17" s="33"/>
      <c r="Q17" s="65"/>
      <c r="R17" s="65"/>
      <c r="S17" s="33"/>
      <c r="T17" s="33"/>
      <c r="U17" s="33"/>
      <c r="V17" s="31"/>
      <c r="W17" s="31"/>
      <c r="X17" s="31"/>
      <c r="Y17" s="31"/>
      <c r="Z17" s="31"/>
      <c r="AA17" s="31"/>
      <c r="AB17" s="31"/>
    </row>
    <row r="18" spans="2:28" hidden="1" x14ac:dyDescent="0.2">
      <c r="B18" s="115"/>
      <c r="C18" s="69"/>
      <c r="D18" s="42"/>
      <c r="E18" s="38"/>
      <c r="F18" s="39"/>
      <c r="G18" s="39"/>
      <c r="H18" s="39"/>
      <c r="I18" s="33"/>
      <c r="J18" s="33"/>
      <c r="K18" s="95"/>
      <c r="L18" s="116"/>
      <c r="M18" s="117"/>
      <c r="N18" s="33"/>
      <c r="O18" s="33"/>
      <c r="P18" s="33"/>
      <c r="Q18" s="65"/>
      <c r="R18" s="65"/>
      <c r="S18" s="33"/>
      <c r="T18" s="33"/>
      <c r="U18" s="33"/>
      <c r="V18" s="31"/>
      <c r="W18" s="31"/>
      <c r="X18" s="31"/>
      <c r="Y18" s="31"/>
      <c r="Z18" s="31"/>
      <c r="AA18" s="31"/>
      <c r="AB18" s="31"/>
    </row>
    <row r="19" spans="2:28" hidden="1" x14ac:dyDescent="0.2">
      <c r="B19" s="115"/>
      <c r="C19" s="69"/>
      <c r="D19" s="42"/>
      <c r="E19" s="38"/>
      <c r="F19" s="39"/>
      <c r="G19" s="39"/>
      <c r="H19" s="39"/>
      <c r="I19" s="33"/>
      <c r="J19" s="33"/>
      <c r="K19" s="95"/>
      <c r="L19" s="33"/>
      <c r="M19" s="117"/>
      <c r="N19" s="33"/>
      <c r="O19" s="33"/>
      <c r="P19" s="33"/>
      <c r="Q19" s="65"/>
      <c r="R19" s="65"/>
      <c r="S19" s="33"/>
      <c r="T19" s="33"/>
      <c r="U19" s="33"/>
      <c r="V19" s="31"/>
      <c r="W19" s="31"/>
      <c r="X19" s="31"/>
      <c r="Y19" s="31"/>
      <c r="Z19" s="31"/>
      <c r="AA19" s="31"/>
      <c r="AB19" s="31"/>
    </row>
    <row r="20" spans="2:28" x14ac:dyDescent="0.2">
      <c r="B20" s="115" t="s">
        <v>67</v>
      </c>
      <c r="C20" s="69">
        <v>0.01</v>
      </c>
      <c r="D20" s="42">
        <f>IF(C20&gt;1%,"INVALID",(D15-D16-D18-D19-D17)*C20)</f>
        <v>173140</v>
      </c>
      <c r="E20" s="38"/>
      <c r="F20" s="39"/>
      <c r="G20" s="39"/>
      <c r="H20" s="39"/>
      <c r="I20" s="33"/>
      <c r="J20" s="33"/>
      <c r="K20" s="95"/>
      <c r="L20" s="33"/>
      <c r="M20" s="33"/>
      <c r="N20" s="33"/>
      <c r="O20" s="33"/>
      <c r="P20" s="33"/>
      <c r="Q20" s="65"/>
      <c r="R20" s="65"/>
      <c r="S20" s="33"/>
      <c r="T20" s="33"/>
      <c r="U20" s="33"/>
      <c r="V20" s="31"/>
      <c r="W20" s="31"/>
      <c r="X20" s="31"/>
      <c r="Y20" s="31"/>
      <c r="Z20" s="31"/>
      <c r="AA20" s="31"/>
      <c r="AB20" s="31"/>
    </row>
    <row r="21" spans="2:28" x14ac:dyDescent="0.2">
      <c r="B21" s="115">
        <f>IF(INPUT!$D$42="Repeat Buyer",Classic_Mem_Inst1!$L$13,Classic_Mem_Inst1!$L$14)</f>
        <v>0</v>
      </c>
      <c r="C21" s="97">
        <f>IF(B21=Classic_Mem_Inst1!$L$13,Classic_Mem_Inst1!$M$13,Classic_Mem_Inst1!$M$14)</f>
        <v>0</v>
      </c>
      <c r="D21" s="42">
        <f>(D15-D16-D18-D19-D20-D17)*C21</f>
        <v>0</v>
      </c>
      <c r="E21" s="44"/>
      <c r="F21" s="39"/>
      <c r="G21" s="39"/>
      <c r="H21" s="39"/>
      <c r="I21" s="33"/>
      <c r="J21" s="33"/>
      <c r="K21" s="95"/>
      <c r="L21" s="33"/>
      <c r="M21" s="33"/>
      <c r="N21" s="33"/>
      <c r="O21" s="33"/>
      <c r="P21" s="33"/>
      <c r="Q21" s="33"/>
      <c r="R21" s="33"/>
      <c r="S21" s="33"/>
      <c r="T21" s="33"/>
      <c r="U21" s="33"/>
      <c r="V21" s="31"/>
      <c r="W21" s="31"/>
      <c r="X21" s="31"/>
      <c r="Y21" s="31"/>
      <c r="Z21" s="31"/>
      <c r="AA21" s="31"/>
      <c r="AB21" s="31"/>
    </row>
    <row r="22" spans="2:28" x14ac:dyDescent="0.2">
      <c r="B22" s="40" t="s">
        <v>68</v>
      </c>
      <c r="C22" s="97">
        <v>0.05</v>
      </c>
      <c r="D22" s="42">
        <f>((D15-D16-D18-D19-D20-D21-D17)/1.12)*C22</f>
        <v>765216.9642857142</v>
      </c>
      <c r="E22" s="120"/>
      <c r="F22" s="113"/>
      <c r="G22" s="113"/>
      <c r="H22" s="113"/>
      <c r="I22" s="31"/>
      <c r="J22" s="31"/>
      <c r="K22" s="31"/>
      <c r="L22" s="31"/>
      <c r="M22" s="31"/>
      <c r="N22" s="31"/>
      <c r="O22" s="31"/>
      <c r="P22" s="31"/>
      <c r="Q22" s="31"/>
      <c r="R22" s="31"/>
      <c r="S22" s="31"/>
      <c r="T22" s="31"/>
      <c r="U22" s="31"/>
      <c r="V22" s="31"/>
      <c r="W22" s="31"/>
      <c r="X22" s="31"/>
      <c r="Y22" s="31"/>
      <c r="Z22" s="31"/>
      <c r="AA22" s="31"/>
      <c r="AB22" s="31"/>
    </row>
    <row r="23" spans="2:28" ht="15.75" thickBot="1" x14ac:dyDescent="0.25">
      <c r="B23" s="45" t="s">
        <v>69</v>
      </c>
      <c r="C23" s="46"/>
      <c r="D23" s="47">
        <f>(D15-D16-D18-D19-D20-D21-D17+D22)</f>
        <v>17906076.964285713</v>
      </c>
      <c r="E23" s="38"/>
      <c r="F23" s="39"/>
      <c r="G23" s="39"/>
      <c r="H23" s="39"/>
      <c r="I23" s="33"/>
      <c r="J23" s="33"/>
      <c r="K23" s="95"/>
      <c r="L23" s="33"/>
      <c r="M23" s="33"/>
      <c r="N23" s="33"/>
      <c r="O23" s="33"/>
      <c r="P23" s="33"/>
      <c r="Q23" s="33"/>
      <c r="R23" s="33"/>
      <c r="S23" s="33"/>
      <c r="T23" s="33"/>
      <c r="U23" s="33"/>
      <c r="V23" s="31"/>
      <c r="W23" s="31"/>
      <c r="X23" s="31"/>
      <c r="Y23" s="31"/>
      <c r="Z23" s="31"/>
      <c r="AA23" s="31"/>
      <c r="AB23" s="31"/>
    </row>
    <row r="24" spans="2:28" ht="16.5" thickTop="1" thickBot="1" x14ac:dyDescent="0.25"/>
    <row r="25" spans="2:28" ht="15.75" thickBot="1" x14ac:dyDescent="0.25">
      <c r="B25" s="274" t="s">
        <v>70</v>
      </c>
      <c r="C25" s="275"/>
      <c r="D25" s="78" t="s">
        <v>71</v>
      </c>
      <c r="E25" s="78" t="s">
        <v>72</v>
      </c>
      <c r="F25" s="78" t="s">
        <v>73</v>
      </c>
      <c r="G25" s="78" t="s">
        <v>74</v>
      </c>
      <c r="H25" s="78" t="s">
        <v>75</v>
      </c>
      <c r="I25" s="79" t="s">
        <v>76</v>
      </c>
      <c r="J25" s="33"/>
      <c r="K25" s="33"/>
      <c r="L25" s="33"/>
      <c r="M25" s="33"/>
      <c r="N25" s="33"/>
    </row>
    <row r="26" spans="2:28" x14ac:dyDescent="0.2">
      <c r="B26" s="302">
        <v>0</v>
      </c>
      <c r="C26" s="303"/>
      <c r="D26" s="50">
        <f ca="1">INPUT!D48</f>
        <v>45360</v>
      </c>
      <c r="E26" s="141" t="s">
        <v>77</v>
      </c>
      <c r="F26" s="51">
        <v>50000</v>
      </c>
      <c r="G26" s="106"/>
      <c r="H26" s="106">
        <f>SUM(F26:G26)</f>
        <v>50000</v>
      </c>
      <c r="I26" s="52">
        <f>D23-H26</f>
        <v>17856076.964285713</v>
      </c>
      <c r="J26" s="53" t="s">
        <v>78</v>
      </c>
      <c r="K26" s="33"/>
      <c r="L26" s="38">
        <v>56000</v>
      </c>
      <c r="M26" s="39">
        <f>L26-F26</f>
        <v>6000</v>
      </c>
      <c r="N26" s="33"/>
    </row>
    <row r="27" spans="2:28" hidden="1" x14ac:dyDescent="0.2">
      <c r="B27" s="290"/>
      <c r="C27" s="265"/>
      <c r="D27" s="70">
        <v>44948</v>
      </c>
      <c r="E27" s="74" t="s">
        <v>79</v>
      </c>
      <c r="F27" s="75"/>
      <c r="G27" s="118"/>
      <c r="H27" s="118">
        <v>0</v>
      </c>
      <c r="I27" s="76">
        <f>I26-H27</f>
        <v>17856076.964285713</v>
      </c>
      <c r="J27" s="53"/>
      <c r="K27" s="33"/>
      <c r="L27" s="38"/>
      <c r="M27" s="39"/>
      <c r="N27" s="33"/>
    </row>
    <row r="28" spans="2:28" x14ac:dyDescent="0.2">
      <c r="B28" s="290">
        <f>B27+1</f>
        <v>1</v>
      </c>
      <c r="C28" s="265"/>
      <c r="D28" s="70">
        <f ca="1">EDATE(D26,1)</f>
        <v>45391</v>
      </c>
      <c r="E28" s="134" t="s">
        <v>90</v>
      </c>
      <c r="F28" s="71">
        <f>ROUND((((D23-D22)*10%)-F26),2)</f>
        <v>1664086</v>
      </c>
      <c r="G28" s="107">
        <f>ROUND((((D22)*10%)),2)</f>
        <v>76521.7</v>
      </c>
      <c r="H28" s="107">
        <f>SUM(F28:G28)</f>
        <v>1740607.7</v>
      </c>
      <c r="I28" s="76">
        <f>I27-H28</f>
        <v>16115469.264285713</v>
      </c>
      <c r="J28" s="53"/>
      <c r="K28" s="33"/>
      <c r="L28" s="38"/>
      <c r="M28" s="39"/>
      <c r="N28" s="33"/>
    </row>
    <row r="29" spans="2:28" x14ac:dyDescent="0.2">
      <c r="B29" s="290">
        <f t="shared" ref="B29:B65" si="0">B28+1</f>
        <v>2</v>
      </c>
      <c r="C29" s="265"/>
      <c r="D29" s="70">
        <f ca="1">EDATE(D28,1)</f>
        <v>45421</v>
      </c>
      <c r="E29" s="134" t="s">
        <v>91</v>
      </c>
      <c r="F29" s="71">
        <f>ROUND((((D23-D22)*40%)/36),2)</f>
        <v>190454</v>
      </c>
      <c r="G29" s="107">
        <f>ROUND((((D22)*40%)/36),2)</f>
        <v>8502.41</v>
      </c>
      <c r="H29" s="107">
        <f>SUM(F29:G29)</f>
        <v>198956.41</v>
      </c>
      <c r="I29" s="72">
        <f t="shared" ref="I29:I65" si="1">I28-H29</f>
        <v>15916512.854285713</v>
      </c>
      <c r="J29" s="53"/>
      <c r="K29" s="33"/>
      <c r="L29" s="38"/>
      <c r="M29" s="39"/>
      <c r="N29" s="33"/>
    </row>
    <row r="30" spans="2:28" x14ac:dyDescent="0.2">
      <c r="B30" s="290">
        <f t="shared" si="0"/>
        <v>3</v>
      </c>
      <c r="C30" s="265"/>
      <c r="D30" s="70">
        <f t="shared" ref="D30:D65" ca="1" si="2">EDATE(D29,1)</f>
        <v>45452</v>
      </c>
      <c r="E30" s="134" t="s">
        <v>92</v>
      </c>
      <c r="F30" s="71">
        <f>F29</f>
        <v>190454</v>
      </c>
      <c r="G30" s="107">
        <f>G29</f>
        <v>8502.41</v>
      </c>
      <c r="H30" s="107">
        <f t="shared" ref="H30:H64" si="3">SUM(F30:G30)</f>
        <v>198956.41</v>
      </c>
      <c r="I30" s="72">
        <f t="shared" si="1"/>
        <v>15717556.444285713</v>
      </c>
      <c r="J30" s="53"/>
      <c r="K30" s="33"/>
      <c r="L30" s="38"/>
      <c r="M30" s="39"/>
      <c r="N30" s="33"/>
    </row>
    <row r="31" spans="2:28" x14ac:dyDescent="0.2">
      <c r="B31" s="290">
        <f t="shared" si="0"/>
        <v>4</v>
      </c>
      <c r="C31" s="265"/>
      <c r="D31" s="70">
        <f t="shared" ca="1" si="2"/>
        <v>45482</v>
      </c>
      <c r="E31" s="134" t="s">
        <v>93</v>
      </c>
      <c r="F31" s="71">
        <f t="shared" ref="F31:G64" si="4">F30</f>
        <v>190454</v>
      </c>
      <c r="G31" s="107">
        <f t="shared" si="4"/>
        <v>8502.41</v>
      </c>
      <c r="H31" s="107">
        <f t="shared" si="3"/>
        <v>198956.41</v>
      </c>
      <c r="I31" s="72">
        <f t="shared" si="1"/>
        <v>15518600.034285713</v>
      </c>
      <c r="J31" s="53"/>
      <c r="K31" s="33"/>
      <c r="L31" s="38"/>
      <c r="M31" s="39"/>
      <c r="N31" s="33"/>
    </row>
    <row r="32" spans="2:28" x14ac:dyDescent="0.2">
      <c r="B32" s="290">
        <f t="shared" si="0"/>
        <v>5</v>
      </c>
      <c r="C32" s="265"/>
      <c r="D32" s="70">
        <f t="shared" ca="1" si="2"/>
        <v>45513</v>
      </c>
      <c r="E32" s="134" t="s">
        <v>94</v>
      </c>
      <c r="F32" s="71">
        <f t="shared" si="4"/>
        <v>190454</v>
      </c>
      <c r="G32" s="107">
        <f t="shared" si="4"/>
        <v>8502.41</v>
      </c>
      <c r="H32" s="107">
        <f t="shared" si="3"/>
        <v>198956.41</v>
      </c>
      <c r="I32" s="72">
        <f t="shared" si="1"/>
        <v>15319643.624285713</v>
      </c>
      <c r="J32" s="53"/>
      <c r="K32" s="33"/>
      <c r="L32" s="38"/>
      <c r="M32" s="39"/>
      <c r="N32" s="33"/>
    </row>
    <row r="33" spans="2:14" x14ac:dyDescent="0.2">
      <c r="B33" s="290">
        <f t="shared" si="0"/>
        <v>6</v>
      </c>
      <c r="C33" s="265"/>
      <c r="D33" s="70">
        <f t="shared" ca="1" si="2"/>
        <v>45544</v>
      </c>
      <c r="E33" s="134" t="s">
        <v>95</v>
      </c>
      <c r="F33" s="71">
        <f t="shared" si="4"/>
        <v>190454</v>
      </c>
      <c r="G33" s="107">
        <f t="shared" si="4"/>
        <v>8502.41</v>
      </c>
      <c r="H33" s="107">
        <f t="shared" si="3"/>
        <v>198956.41</v>
      </c>
      <c r="I33" s="72">
        <f t="shared" si="1"/>
        <v>15120687.214285713</v>
      </c>
      <c r="J33" s="53"/>
      <c r="K33" s="33"/>
      <c r="L33" s="38"/>
      <c r="M33" s="39"/>
      <c r="N33" s="33"/>
    </row>
    <row r="34" spans="2:14" x14ac:dyDescent="0.2">
      <c r="B34" s="290">
        <f t="shared" si="0"/>
        <v>7</v>
      </c>
      <c r="C34" s="265"/>
      <c r="D34" s="70">
        <f t="shared" ca="1" si="2"/>
        <v>45574</v>
      </c>
      <c r="E34" s="134" t="s">
        <v>96</v>
      </c>
      <c r="F34" s="71">
        <f t="shared" si="4"/>
        <v>190454</v>
      </c>
      <c r="G34" s="107">
        <f t="shared" si="4"/>
        <v>8502.41</v>
      </c>
      <c r="H34" s="107">
        <f t="shared" si="3"/>
        <v>198956.41</v>
      </c>
      <c r="I34" s="72">
        <f t="shared" si="1"/>
        <v>14921730.804285713</v>
      </c>
      <c r="J34" s="53"/>
      <c r="K34" s="33"/>
      <c r="L34" s="38"/>
      <c r="M34" s="39"/>
      <c r="N34" s="33"/>
    </row>
    <row r="35" spans="2:14" x14ac:dyDescent="0.2">
      <c r="B35" s="290">
        <f t="shared" si="0"/>
        <v>8</v>
      </c>
      <c r="C35" s="265"/>
      <c r="D35" s="70">
        <f t="shared" ca="1" si="2"/>
        <v>45605</v>
      </c>
      <c r="E35" s="134" t="s">
        <v>97</v>
      </c>
      <c r="F35" s="71">
        <f t="shared" si="4"/>
        <v>190454</v>
      </c>
      <c r="G35" s="107">
        <f t="shared" si="4"/>
        <v>8502.41</v>
      </c>
      <c r="H35" s="107">
        <f t="shared" si="3"/>
        <v>198956.41</v>
      </c>
      <c r="I35" s="72">
        <f t="shared" si="1"/>
        <v>14722774.394285712</v>
      </c>
      <c r="J35" s="53"/>
      <c r="K35" s="33"/>
      <c r="L35" s="38"/>
      <c r="M35" s="39"/>
      <c r="N35" s="33"/>
    </row>
    <row r="36" spans="2:14" x14ac:dyDescent="0.2">
      <c r="B36" s="290">
        <f t="shared" si="0"/>
        <v>9</v>
      </c>
      <c r="C36" s="265"/>
      <c r="D36" s="70">
        <f t="shared" ca="1" si="2"/>
        <v>45635</v>
      </c>
      <c r="E36" s="134" t="s">
        <v>98</v>
      </c>
      <c r="F36" s="71">
        <f t="shared" si="4"/>
        <v>190454</v>
      </c>
      <c r="G36" s="107">
        <f t="shared" si="4"/>
        <v>8502.41</v>
      </c>
      <c r="H36" s="107">
        <f t="shared" si="3"/>
        <v>198956.41</v>
      </c>
      <c r="I36" s="72">
        <f t="shared" si="1"/>
        <v>14523817.984285712</v>
      </c>
      <c r="J36" s="53"/>
      <c r="K36" s="33"/>
      <c r="L36" s="38"/>
      <c r="M36" s="39"/>
      <c r="N36" s="33"/>
    </row>
    <row r="37" spans="2:14" x14ac:dyDescent="0.2">
      <c r="B37" s="290">
        <f t="shared" si="0"/>
        <v>10</v>
      </c>
      <c r="C37" s="265"/>
      <c r="D37" s="70">
        <f t="shared" ca="1" si="2"/>
        <v>45666</v>
      </c>
      <c r="E37" s="134" t="s">
        <v>99</v>
      </c>
      <c r="F37" s="71">
        <f t="shared" si="4"/>
        <v>190454</v>
      </c>
      <c r="G37" s="107">
        <f t="shared" si="4"/>
        <v>8502.41</v>
      </c>
      <c r="H37" s="107">
        <f t="shared" si="3"/>
        <v>198956.41</v>
      </c>
      <c r="I37" s="72">
        <f t="shared" si="1"/>
        <v>14324861.574285712</v>
      </c>
      <c r="J37" s="53"/>
      <c r="K37" s="33"/>
      <c r="L37" s="38"/>
      <c r="M37" s="39"/>
      <c r="N37" s="33"/>
    </row>
    <row r="38" spans="2:14" x14ac:dyDescent="0.2">
      <c r="B38" s="290">
        <f t="shared" si="0"/>
        <v>11</v>
      </c>
      <c r="C38" s="265"/>
      <c r="D38" s="70">
        <f t="shared" ca="1" si="2"/>
        <v>45697</v>
      </c>
      <c r="E38" s="134" t="s">
        <v>100</v>
      </c>
      <c r="F38" s="71">
        <f t="shared" si="4"/>
        <v>190454</v>
      </c>
      <c r="G38" s="107">
        <f t="shared" si="4"/>
        <v>8502.41</v>
      </c>
      <c r="H38" s="107">
        <f t="shared" si="3"/>
        <v>198956.41</v>
      </c>
      <c r="I38" s="72">
        <f t="shared" si="1"/>
        <v>14125905.164285712</v>
      </c>
      <c r="J38" s="53"/>
      <c r="K38" s="33"/>
      <c r="L38" s="38"/>
      <c r="M38" s="39"/>
      <c r="N38" s="33"/>
    </row>
    <row r="39" spans="2:14" x14ac:dyDescent="0.2">
      <c r="B39" s="290">
        <f t="shared" si="0"/>
        <v>12</v>
      </c>
      <c r="C39" s="265"/>
      <c r="D39" s="70">
        <f t="shared" ca="1" si="2"/>
        <v>45725</v>
      </c>
      <c r="E39" s="134" t="s">
        <v>101</v>
      </c>
      <c r="F39" s="71">
        <f t="shared" si="4"/>
        <v>190454</v>
      </c>
      <c r="G39" s="107">
        <f t="shared" si="4"/>
        <v>8502.41</v>
      </c>
      <c r="H39" s="107">
        <f t="shared" si="3"/>
        <v>198956.41</v>
      </c>
      <c r="I39" s="72">
        <f t="shared" si="1"/>
        <v>13926948.754285712</v>
      </c>
      <c r="J39" s="53"/>
      <c r="K39" s="33"/>
      <c r="L39" s="38"/>
      <c r="M39" s="39"/>
      <c r="N39" s="33"/>
    </row>
    <row r="40" spans="2:14" x14ac:dyDescent="0.2">
      <c r="B40" s="290">
        <f t="shared" si="0"/>
        <v>13</v>
      </c>
      <c r="C40" s="265"/>
      <c r="D40" s="70">
        <f t="shared" ca="1" si="2"/>
        <v>45756</v>
      </c>
      <c r="E40" s="134" t="s">
        <v>102</v>
      </c>
      <c r="F40" s="71">
        <f t="shared" si="4"/>
        <v>190454</v>
      </c>
      <c r="G40" s="107">
        <f t="shared" si="4"/>
        <v>8502.41</v>
      </c>
      <c r="H40" s="107">
        <f t="shared" si="3"/>
        <v>198956.41</v>
      </c>
      <c r="I40" s="72">
        <f t="shared" si="1"/>
        <v>13727992.344285712</v>
      </c>
      <c r="J40" s="53"/>
      <c r="K40" s="33"/>
      <c r="L40" s="38"/>
      <c r="M40" s="39"/>
      <c r="N40" s="33"/>
    </row>
    <row r="41" spans="2:14" x14ac:dyDescent="0.2">
      <c r="B41" s="290">
        <f t="shared" si="0"/>
        <v>14</v>
      </c>
      <c r="C41" s="265"/>
      <c r="D41" s="70">
        <f t="shared" ca="1" si="2"/>
        <v>45786</v>
      </c>
      <c r="E41" s="134" t="s">
        <v>103</v>
      </c>
      <c r="F41" s="71">
        <f t="shared" si="4"/>
        <v>190454</v>
      </c>
      <c r="G41" s="107">
        <f t="shared" si="4"/>
        <v>8502.41</v>
      </c>
      <c r="H41" s="107">
        <f t="shared" si="3"/>
        <v>198956.41</v>
      </c>
      <c r="I41" s="72">
        <f t="shared" si="1"/>
        <v>13529035.934285711</v>
      </c>
      <c r="J41" s="53"/>
      <c r="K41" s="33"/>
      <c r="L41" s="38"/>
      <c r="M41" s="39"/>
      <c r="N41" s="33"/>
    </row>
    <row r="42" spans="2:14" x14ac:dyDescent="0.2">
      <c r="B42" s="290">
        <f t="shared" si="0"/>
        <v>15</v>
      </c>
      <c r="C42" s="265"/>
      <c r="D42" s="70">
        <f t="shared" ca="1" si="2"/>
        <v>45817</v>
      </c>
      <c r="E42" s="134" t="s">
        <v>104</v>
      </c>
      <c r="F42" s="71">
        <f t="shared" si="4"/>
        <v>190454</v>
      </c>
      <c r="G42" s="107">
        <f t="shared" si="4"/>
        <v>8502.41</v>
      </c>
      <c r="H42" s="107">
        <f t="shared" si="3"/>
        <v>198956.41</v>
      </c>
      <c r="I42" s="72">
        <f t="shared" si="1"/>
        <v>13330079.524285711</v>
      </c>
      <c r="J42" s="53"/>
      <c r="K42" s="33"/>
      <c r="L42" s="38"/>
      <c r="M42" s="39"/>
      <c r="N42" s="33"/>
    </row>
    <row r="43" spans="2:14" x14ac:dyDescent="0.2">
      <c r="B43" s="290">
        <f t="shared" si="0"/>
        <v>16</v>
      </c>
      <c r="C43" s="265"/>
      <c r="D43" s="70">
        <f t="shared" ca="1" si="2"/>
        <v>45847</v>
      </c>
      <c r="E43" s="134" t="s">
        <v>105</v>
      </c>
      <c r="F43" s="71">
        <f t="shared" si="4"/>
        <v>190454</v>
      </c>
      <c r="G43" s="107">
        <f t="shared" si="4"/>
        <v>8502.41</v>
      </c>
      <c r="H43" s="107">
        <f t="shared" si="3"/>
        <v>198956.41</v>
      </c>
      <c r="I43" s="72">
        <f t="shared" si="1"/>
        <v>13131123.114285711</v>
      </c>
      <c r="J43" s="53"/>
      <c r="K43" s="33"/>
      <c r="L43" s="38"/>
      <c r="M43" s="39"/>
      <c r="N43" s="33"/>
    </row>
    <row r="44" spans="2:14" x14ac:dyDescent="0.2">
      <c r="B44" s="290">
        <f t="shared" si="0"/>
        <v>17</v>
      </c>
      <c r="C44" s="265"/>
      <c r="D44" s="70">
        <f t="shared" ca="1" si="2"/>
        <v>45878</v>
      </c>
      <c r="E44" s="134" t="s">
        <v>106</v>
      </c>
      <c r="F44" s="71">
        <f t="shared" si="4"/>
        <v>190454</v>
      </c>
      <c r="G44" s="107">
        <f t="shared" si="4"/>
        <v>8502.41</v>
      </c>
      <c r="H44" s="107">
        <f t="shared" si="3"/>
        <v>198956.41</v>
      </c>
      <c r="I44" s="72">
        <f t="shared" si="1"/>
        <v>12932166.704285711</v>
      </c>
      <c r="J44" s="53"/>
      <c r="K44" s="33"/>
      <c r="L44" s="38"/>
      <c r="M44" s="39"/>
      <c r="N44" s="33"/>
    </row>
    <row r="45" spans="2:14" x14ac:dyDescent="0.2">
      <c r="B45" s="290">
        <f t="shared" si="0"/>
        <v>18</v>
      </c>
      <c r="C45" s="265"/>
      <c r="D45" s="70">
        <f t="shared" ca="1" si="2"/>
        <v>45909</v>
      </c>
      <c r="E45" s="134" t="s">
        <v>107</v>
      </c>
      <c r="F45" s="71">
        <f t="shared" si="4"/>
        <v>190454</v>
      </c>
      <c r="G45" s="107">
        <f t="shared" si="4"/>
        <v>8502.41</v>
      </c>
      <c r="H45" s="107">
        <f t="shared" si="3"/>
        <v>198956.41</v>
      </c>
      <c r="I45" s="72">
        <f t="shared" si="1"/>
        <v>12733210.294285711</v>
      </c>
      <c r="J45" s="53"/>
      <c r="K45" s="33"/>
      <c r="L45" s="38"/>
      <c r="M45" s="39"/>
      <c r="N45" s="33"/>
    </row>
    <row r="46" spans="2:14" x14ac:dyDescent="0.2">
      <c r="B46" s="290">
        <f t="shared" si="0"/>
        <v>19</v>
      </c>
      <c r="C46" s="265"/>
      <c r="D46" s="70">
        <f t="shared" ca="1" si="2"/>
        <v>45939</v>
      </c>
      <c r="E46" s="134" t="s">
        <v>108</v>
      </c>
      <c r="F46" s="71">
        <f t="shared" si="4"/>
        <v>190454</v>
      </c>
      <c r="G46" s="107">
        <f t="shared" si="4"/>
        <v>8502.41</v>
      </c>
      <c r="H46" s="107">
        <f t="shared" si="3"/>
        <v>198956.41</v>
      </c>
      <c r="I46" s="72">
        <f t="shared" si="1"/>
        <v>12534253.884285711</v>
      </c>
      <c r="J46" s="53"/>
      <c r="K46" s="33"/>
      <c r="L46" s="38"/>
      <c r="M46" s="39"/>
      <c r="N46" s="33"/>
    </row>
    <row r="47" spans="2:14" x14ac:dyDescent="0.2">
      <c r="B47" s="290">
        <f t="shared" si="0"/>
        <v>20</v>
      </c>
      <c r="C47" s="265"/>
      <c r="D47" s="70">
        <f t="shared" ca="1" si="2"/>
        <v>45970</v>
      </c>
      <c r="E47" s="134" t="s">
        <v>109</v>
      </c>
      <c r="F47" s="71">
        <f t="shared" si="4"/>
        <v>190454</v>
      </c>
      <c r="G47" s="107">
        <f t="shared" si="4"/>
        <v>8502.41</v>
      </c>
      <c r="H47" s="107">
        <f t="shared" si="3"/>
        <v>198956.41</v>
      </c>
      <c r="I47" s="72">
        <f t="shared" si="1"/>
        <v>12335297.474285711</v>
      </c>
      <c r="J47" s="53"/>
      <c r="K47" s="33"/>
      <c r="L47" s="38"/>
      <c r="M47" s="39"/>
      <c r="N47" s="33"/>
    </row>
    <row r="48" spans="2:14" x14ac:dyDescent="0.2">
      <c r="B48" s="290">
        <f t="shared" si="0"/>
        <v>21</v>
      </c>
      <c r="C48" s="265"/>
      <c r="D48" s="70">
        <f t="shared" ca="1" si="2"/>
        <v>46000</v>
      </c>
      <c r="E48" s="134" t="s">
        <v>110</v>
      </c>
      <c r="F48" s="71">
        <f t="shared" si="4"/>
        <v>190454</v>
      </c>
      <c r="G48" s="107">
        <f t="shared" si="4"/>
        <v>8502.41</v>
      </c>
      <c r="H48" s="107">
        <f t="shared" si="3"/>
        <v>198956.41</v>
      </c>
      <c r="I48" s="72">
        <f t="shared" si="1"/>
        <v>12136341.06428571</v>
      </c>
      <c r="J48" s="53"/>
      <c r="K48" s="33"/>
      <c r="L48" s="38"/>
      <c r="M48" s="39"/>
      <c r="N48" s="33"/>
    </row>
    <row r="49" spans="2:14" x14ac:dyDescent="0.2">
      <c r="B49" s="290">
        <f t="shared" si="0"/>
        <v>22</v>
      </c>
      <c r="C49" s="265"/>
      <c r="D49" s="70">
        <f t="shared" ca="1" si="2"/>
        <v>46031</v>
      </c>
      <c r="E49" s="134" t="s">
        <v>111</v>
      </c>
      <c r="F49" s="71">
        <f t="shared" si="4"/>
        <v>190454</v>
      </c>
      <c r="G49" s="107">
        <f t="shared" si="4"/>
        <v>8502.41</v>
      </c>
      <c r="H49" s="107">
        <f t="shared" si="3"/>
        <v>198956.41</v>
      </c>
      <c r="I49" s="72">
        <f t="shared" si="1"/>
        <v>11937384.65428571</v>
      </c>
      <c r="J49" s="53"/>
      <c r="K49" s="33"/>
      <c r="L49" s="38"/>
      <c r="M49" s="39"/>
      <c r="N49" s="33"/>
    </row>
    <row r="50" spans="2:14" x14ac:dyDescent="0.2">
      <c r="B50" s="290">
        <f t="shared" si="0"/>
        <v>23</v>
      </c>
      <c r="C50" s="265"/>
      <c r="D50" s="70">
        <f t="shared" ca="1" si="2"/>
        <v>46062</v>
      </c>
      <c r="E50" s="134" t="s">
        <v>112</v>
      </c>
      <c r="F50" s="71">
        <f t="shared" si="4"/>
        <v>190454</v>
      </c>
      <c r="G50" s="107">
        <f t="shared" si="4"/>
        <v>8502.41</v>
      </c>
      <c r="H50" s="107">
        <f t="shared" si="3"/>
        <v>198956.41</v>
      </c>
      <c r="I50" s="72">
        <f t="shared" si="1"/>
        <v>11738428.24428571</v>
      </c>
      <c r="J50" s="53"/>
      <c r="K50" s="33"/>
      <c r="L50" s="38"/>
      <c r="M50" s="39"/>
      <c r="N50" s="33"/>
    </row>
    <row r="51" spans="2:14" x14ac:dyDescent="0.2">
      <c r="B51" s="290">
        <f t="shared" si="0"/>
        <v>24</v>
      </c>
      <c r="C51" s="265"/>
      <c r="D51" s="70">
        <f t="shared" ca="1" si="2"/>
        <v>46090</v>
      </c>
      <c r="E51" s="134" t="s">
        <v>113</v>
      </c>
      <c r="F51" s="71">
        <f t="shared" si="4"/>
        <v>190454</v>
      </c>
      <c r="G51" s="107">
        <f t="shared" si="4"/>
        <v>8502.41</v>
      </c>
      <c r="H51" s="107">
        <f t="shared" si="3"/>
        <v>198956.41</v>
      </c>
      <c r="I51" s="72">
        <f t="shared" si="1"/>
        <v>11539471.83428571</v>
      </c>
      <c r="J51" s="53"/>
      <c r="K51" s="33"/>
      <c r="L51" s="38"/>
      <c r="M51" s="39"/>
      <c r="N51" s="33"/>
    </row>
    <row r="52" spans="2:14" x14ac:dyDescent="0.2">
      <c r="B52" s="290">
        <f t="shared" si="0"/>
        <v>25</v>
      </c>
      <c r="C52" s="265"/>
      <c r="D52" s="70">
        <f t="shared" ca="1" si="2"/>
        <v>46121</v>
      </c>
      <c r="E52" s="134" t="s">
        <v>114</v>
      </c>
      <c r="F52" s="71">
        <f t="shared" si="4"/>
        <v>190454</v>
      </c>
      <c r="G52" s="107">
        <f t="shared" si="4"/>
        <v>8502.41</v>
      </c>
      <c r="H52" s="107">
        <f t="shared" si="3"/>
        <v>198956.41</v>
      </c>
      <c r="I52" s="72">
        <f t="shared" si="1"/>
        <v>11340515.42428571</v>
      </c>
      <c r="J52" s="53"/>
      <c r="K52" s="33"/>
      <c r="L52" s="38"/>
      <c r="M52" s="39"/>
      <c r="N52" s="33"/>
    </row>
    <row r="53" spans="2:14" x14ac:dyDescent="0.2">
      <c r="B53" s="290">
        <f t="shared" si="0"/>
        <v>26</v>
      </c>
      <c r="C53" s="265"/>
      <c r="D53" s="70">
        <f t="shared" ca="1" si="2"/>
        <v>46151</v>
      </c>
      <c r="E53" s="134" t="s">
        <v>119</v>
      </c>
      <c r="F53" s="71">
        <f t="shared" si="4"/>
        <v>190454</v>
      </c>
      <c r="G53" s="107">
        <f t="shared" si="4"/>
        <v>8502.41</v>
      </c>
      <c r="H53" s="107">
        <f t="shared" si="3"/>
        <v>198956.41</v>
      </c>
      <c r="I53" s="72">
        <f t="shared" si="1"/>
        <v>11141559.01428571</v>
      </c>
      <c r="J53" s="53"/>
      <c r="K53" s="33"/>
      <c r="L53" s="38"/>
      <c r="M53" s="39"/>
      <c r="N53" s="33"/>
    </row>
    <row r="54" spans="2:14" x14ac:dyDescent="0.2">
      <c r="B54" s="290">
        <f t="shared" si="0"/>
        <v>27</v>
      </c>
      <c r="C54" s="265"/>
      <c r="D54" s="70">
        <f t="shared" ca="1" si="2"/>
        <v>46182</v>
      </c>
      <c r="E54" s="134" t="s">
        <v>120</v>
      </c>
      <c r="F54" s="71">
        <f t="shared" si="4"/>
        <v>190454</v>
      </c>
      <c r="G54" s="107">
        <f t="shared" si="4"/>
        <v>8502.41</v>
      </c>
      <c r="H54" s="107">
        <f t="shared" si="3"/>
        <v>198956.41</v>
      </c>
      <c r="I54" s="72">
        <f t="shared" si="1"/>
        <v>10942602.60428571</v>
      </c>
      <c r="J54" s="53"/>
      <c r="K54" s="33"/>
      <c r="L54" s="38"/>
      <c r="M54" s="39"/>
      <c r="N54" s="33"/>
    </row>
    <row r="55" spans="2:14" x14ac:dyDescent="0.2">
      <c r="B55" s="290">
        <f t="shared" si="0"/>
        <v>28</v>
      </c>
      <c r="C55" s="265"/>
      <c r="D55" s="70">
        <f t="shared" ca="1" si="2"/>
        <v>46212</v>
      </c>
      <c r="E55" s="134" t="s">
        <v>121</v>
      </c>
      <c r="F55" s="71">
        <f t="shared" si="4"/>
        <v>190454</v>
      </c>
      <c r="G55" s="107">
        <f t="shared" si="4"/>
        <v>8502.41</v>
      </c>
      <c r="H55" s="107">
        <f t="shared" si="3"/>
        <v>198956.41</v>
      </c>
      <c r="I55" s="72">
        <f t="shared" si="1"/>
        <v>10743646.194285709</v>
      </c>
      <c r="J55" s="53"/>
      <c r="K55" s="33"/>
      <c r="L55" s="38"/>
      <c r="M55" s="39"/>
      <c r="N55" s="33"/>
    </row>
    <row r="56" spans="2:14" x14ac:dyDescent="0.2">
      <c r="B56" s="290">
        <f t="shared" si="0"/>
        <v>29</v>
      </c>
      <c r="C56" s="265"/>
      <c r="D56" s="70">
        <f t="shared" ca="1" si="2"/>
        <v>46243</v>
      </c>
      <c r="E56" s="134" t="s">
        <v>122</v>
      </c>
      <c r="F56" s="71">
        <f t="shared" si="4"/>
        <v>190454</v>
      </c>
      <c r="G56" s="107">
        <f t="shared" si="4"/>
        <v>8502.41</v>
      </c>
      <c r="H56" s="107">
        <f t="shared" si="3"/>
        <v>198956.41</v>
      </c>
      <c r="I56" s="72">
        <f t="shared" si="1"/>
        <v>10544689.784285709</v>
      </c>
      <c r="J56" s="53"/>
      <c r="K56" s="33"/>
      <c r="L56" s="38"/>
      <c r="M56" s="39"/>
      <c r="N56" s="33"/>
    </row>
    <row r="57" spans="2:14" x14ac:dyDescent="0.2">
      <c r="B57" s="290">
        <f t="shared" si="0"/>
        <v>30</v>
      </c>
      <c r="C57" s="265"/>
      <c r="D57" s="70">
        <f t="shared" ca="1" si="2"/>
        <v>46274</v>
      </c>
      <c r="E57" s="134" t="s">
        <v>123</v>
      </c>
      <c r="F57" s="71">
        <f t="shared" si="4"/>
        <v>190454</v>
      </c>
      <c r="G57" s="107">
        <f t="shared" si="4"/>
        <v>8502.41</v>
      </c>
      <c r="H57" s="107">
        <f t="shared" si="3"/>
        <v>198956.41</v>
      </c>
      <c r="I57" s="72">
        <f t="shared" si="1"/>
        <v>10345733.374285709</v>
      </c>
      <c r="J57" s="53"/>
      <c r="K57" s="33"/>
      <c r="L57" s="38"/>
      <c r="M57" s="39"/>
      <c r="N57" s="33"/>
    </row>
    <row r="58" spans="2:14" x14ac:dyDescent="0.2">
      <c r="B58" s="290">
        <f t="shared" si="0"/>
        <v>31</v>
      </c>
      <c r="C58" s="265"/>
      <c r="D58" s="70">
        <f t="shared" ca="1" si="2"/>
        <v>46304</v>
      </c>
      <c r="E58" s="134" t="s">
        <v>124</v>
      </c>
      <c r="F58" s="71">
        <f t="shared" si="4"/>
        <v>190454</v>
      </c>
      <c r="G58" s="107">
        <f t="shared" si="4"/>
        <v>8502.41</v>
      </c>
      <c r="H58" s="107">
        <f t="shared" si="3"/>
        <v>198956.41</v>
      </c>
      <c r="I58" s="72">
        <f t="shared" si="1"/>
        <v>10146776.964285709</v>
      </c>
      <c r="J58" s="53"/>
      <c r="K58" s="33"/>
      <c r="L58" s="38"/>
      <c r="M58" s="39"/>
      <c r="N58" s="33"/>
    </row>
    <row r="59" spans="2:14" x14ac:dyDescent="0.2">
      <c r="B59" s="290">
        <f t="shared" si="0"/>
        <v>32</v>
      </c>
      <c r="C59" s="265"/>
      <c r="D59" s="70">
        <f t="shared" ca="1" si="2"/>
        <v>46335</v>
      </c>
      <c r="E59" s="134" t="s">
        <v>125</v>
      </c>
      <c r="F59" s="71">
        <f t="shared" si="4"/>
        <v>190454</v>
      </c>
      <c r="G59" s="107">
        <f t="shared" si="4"/>
        <v>8502.41</v>
      </c>
      <c r="H59" s="107">
        <f t="shared" si="3"/>
        <v>198956.41</v>
      </c>
      <c r="I59" s="72">
        <f t="shared" si="1"/>
        <v>9947820.5542857088</v>
      </c>
      <c r="J59" s="53"/>
      <c r="K59" s="33"/>
      <c r="L59" s="38"/>
      <c r="M59" s="39"/>
      <c r="N59" s="33"/>
    </row>
    <row r="60" spans="2:14" x14ac:dyDescent="0.2">
      <c r="B60" s="290">
        <f t="shared" si="0"/>
        <v>33</v>
      </c>
      <c r="C60" s="265"/>
      <c r="D60" s="70">
        <f t="shared" ca="1" si="2"/>
        <v>46365</v>
      </c>
      <c r="E60" s="134" t="s">
        <v>126</v>
      </c>
      <c r="F60" s="71">
        <f t="shared" si="4"/>
        <v>190454</v>
      </c>
      <c r="G60" s="107">
        <f t="shared" si="4"/>
        <v>8502.41</v>
      </c>
      <c r="H60" s="107">
        <f t="shared" si="3"/>
        <v>198956.41</v>
      </c>
      <c r="I60" s="72">
        <f t="shared" si="1"/>
        <v>9748864.1442857087</v>
      </c>
      <c r="J60" s="53"/>
      <c r="K60" s="33"/>
      <c r="L60" s="38"/>
      <c r="M60" s="39"/>
      <c r="N60" s="33"/>
    </row>
    <row r="61" spans="2:14" x14ac:dyDescent="0.2">
      <c r="B61" s="290">
        <f t="shared" si="0"/>
        <v>34</v>
      </c>
      <c r="C61" s="265"/>
      <c r="D61" s="70">
        <f t="shared" ca="1" si="2"/>
        <v>46396</v>
      </c>
      <c r="E61" s="134" t="s">
        <v>127</v>
      </c>
      <c r="F61" s="71">
        <f t="shared" si="4"/>
        <v>190454</v>
      </c>
      <c r="G61" s="107">
        <f t="shared" si="4"/>
        <v>8502.41</v>
      </c>
      <c r="H61" s="107">
        <f t="shared" si="3"/>
        <v>198956.41</v>
      </c>
      <c r="I61" s="72">
        <f t="shared" si="1"/>
        <v>9549907.7342857085</v>
      </c>
      <c r="J61" s="53"/>
      <c r="K61" s="33"/>
      <c r="L61" s="38"/>
      <c r="M61" s="39"/>
      <c r="N61" s="33"/>
    </row>
    <row r="62" spans="2:14" x14ac:dyDescent="0.2">
      <c r="B62" s="290">
        <f t="shared" si="0"/>
        <v>35</v>
      </c>
      <c r="C62" s="265"/>
      <c r="D62" s="70">
        <f t="shared" ca="1" si="2"/>
        <v>46427</v>
      </c>
      <c r="E62" s="134" t="s">
        <v>128</v>
      </c>
      <c r="F62" s="71">
        <f t="shared" si="4"/>
        <v>190454</v>
      </c>
      <c r="G62" s="107">
        <f t="shared" si="4"/>
        <v>8502.41</v>
      </c>
      <c r="H62" s="107">
        <f t="shared" si="3"/>
        <v>198956.41</v>
      </c>
      <c r="I62" s="72">
        <f t="shared" si="1"/>
        <v>9350951.3242857084</v>
      </c>
      <c r="J62" s="53"/>
      <c r="K62" s="33"/>
      <c r="L62" s="38"/>
      <c r="M62" s="39"/>
      <c r="N62" s="33"/>
    </row>
    <row r="63" spans="2:14" x14ac:dyDescent="0.2">
      <c r="B63" s="290">
        <f t="shared" si="0"/>
        <v>36</v>
      </c>
      <c r="C63" s="265"/>
      <c r="D63" s="70">
        <f t="shared" ca="1" si="2"/>
        <v>46455</v>
      </c>
      <c r="E63" s="134" t="s">
        <v>129</v>
      </c>
      <c r="F63" s="71">
        <f t="shared" si="4"/>
        <v>190454</v>
      </c>
      <c r="G63" s="107">
        <f t="shared" si="4"/>
        <v>8502.41</v>
      </c>
      <c r="H63" s="107">
        <f t="shared" si="3"/>
        <v>198956.41</v>
      </c>
      <c r="I63" s="72">
        <f t="shared" si="1"/>
        <v>9151994.9142857082</v>
      </c>
      <c r="J63" s="53"/>
      <c r="K63" s="33"/>
      <c r="L63" s="38"/>
      <c r="M63" s="39"/>
      <c r="N63" s="33"/>
    </row>
    <row r="64" spans="2:14" x14ac:dyDescent="0.2">
      <c r="B64" s="290">
        <f t="shared" si="0"/>
        <v>37</v>
      </c>
      <c r="C64" s="265"/>
      <c r="D64" s="70">
        <f t="shared" ca="1" si="2"/>
        <v>46486</v>
      </c>
      <c r="E64" s="134" t="s">
        <v>130</v>
      </c>
      <c r="F64" s="71">
        <f t="shared" si="4"/>
        <v>190454</v>
      </c>
      <c r="G64" s="107">
        <f t="shared" si="4"/>
        <v>8502.41</v>
      </c>
      <c r="H64" s="107">
        <f t="shared" si="3"/>
        <v>198956.41</v>
      </c>
      <c r="I64" s="72">
        <f t="shared" si="1"/>
        <v>8953038.5042857081</v>
      </c>
      <c r="J64" s="53"/>
      <c r="K64" s="33"/>
      <c r="L64" s="38"/>
      <c r="M64" s="39"/>
      <c r="N64" s="33"/>
    </row>
    <row r="65" spans="2:18" ht="15.75" thickBot="1" x14ac:dyDescent="0.25">
      <c r="B65" s="290">
        <f t="shared" si="0"/>
        <v>38</v>
      </c>
      <c r="C65" s="265"/>
      <c r="D65" s="70">
        <f t="shared" ca="1" si="2"/>
        <v>46516</v>
      </c>
      <c r="E65" s="140" t="s">
        <v>143</v>
      </c>
      <c r="F65" s="100">
        <f>(D23-D22)-SUM(F26:F64)</f>
        <v>8570430</v>
      </c>
      <c r="G65" s="100">
        <f>(D22)-SUM(G26:G64)</f>
        <v>382608.50428571453</v>
      </c>
      <c r="H65" s="108">
        <f>SUM(F65:G65)</f>
        <v>8953038.5042857137</v>
      </c>
      <c r="I65" s="72">
        <f t="shared" si="1"/>
        <v>0</v>
      </c>
      <c r="J65" s="53"/>
      <c r="K65" s="33"/>
      <c r="L65" s="38"/>
      <c r="M65" s="39"/>
      <c r="N65" s="33"/>
    </row>
    <row r="66" spans="2:18" ht="15.75" thickBot="1" x14ac:dyDescent="0.25">
      <c r="B66" s="54"/>
      <c r="C66" s="55"/>
      <c r="D66" s="56"/>
      <c r="E66" s="57" t="s">
        <v>81</v>
      </c>
      <c r="F66" s="58">
        <f>SUM(F26:F65)</f>
        <v>17140860</v>
      </c>
      <c r="G66" s="58">
        <f>SUM(G28:G65)</f>
        <v>765216.9642857142</v>
      </c>
      <c r="H66" s="58">
        <f>SUM(H26:H65)</f>
        <v>17906076.964285716</v>
      </c>
      <c r="I66" s="59"/>
      <c r="J66" s="33"/>
      <c r="K66" s="33"/>
      <c r="L66" s="38">
        <f>SUM(L26:L65)</f>
        <v>56000</v>
      </c>
      <c r="M66" s="39">
        <f>L66-F66</f>
        <v>-17084860</v>
      </c>
      <c r="N66" s="33"/>
    </row>
    <row r="67" spans="2:18" x14ac:dyDescent="0.2">
      <c r="D67" s="60"/>
      <c r="L67" s="61"/>
    </row>
    <row r="68" spans="2:18" x14ac:dyDescent="0.2">
      <c r="B68" s="62" t="s">
        <v>82</v>
      </c>
      <c r="C68" s="62"/>
      <c r="D68" s="60"/>
      <c r="M68" s="33"/>
      <c r="N68" s="38"/>
      <c r="O68" s="33"/>
      <c r="P68" s="33"/>
      <c r="Q68" s="65"/>
      <c r="R68" s="65"/>
    </row>
    <row r="69" spans="2:18" ht="15" customHeight="1" x14ac:dyDescent="0.2">
      <c r="B69" s="261" t="s">
        <v>266</v>
      </c>
      <c r="C69" s="261"/>
      <c r="D69" s="261"/>
      <c r="E69" s="261"/>
      <c r="F69" s="261"/>
      <c r="G69" s="261"/>
      <c r="H69" s="261"/>
      <c r="I69" s="261"/>
      <c r="J69" s="111"/>
      <c r="K69" s="111"/>
      <c r="M69" s="33"/>
      <c r="N69" s="33"/>
      <c r="O69" s="33"/>
      <c r="P69" s="33"/>
      <c r="Q69" s="65"/>
      <c r="R69" s="65"/>
    </row>
    <row r="70" spans="2:18" ht="15" customHeight="1" x14ac:dyDescent="0.2">
      <c r="B70" s="261"/>
      <c r="C70" s="261"/>
      <c r="D70" s="261"/>
      <c r="E70" s="261"/>
      <c r="F70" s="261"/>
      <c r="G70" s="261"/>
      <c r="H70" s="261"/>
      <c r="I70" s="261"/>
      <c r="J70" s="260"/>
      <c r="K70" s="260"/>
      <c r="M70" s="33"/>
      <c r="N70" s="33"/>
      <c r="O70" s="33"/>
      <c r="P70" s="33"/>
      <c r="Q70" s="65"/>
      <c r="R70" s="65"/>
    </row>
    <row r="71" spans="2:18" ht="15" customHeight="1" x14ac:dyDescent="0.2">
      <c r="B71" s="261"/>
      <c r="C71" s="261"/>
      <c r="D71" s="261"/>
      <c r="E71" s="261"/>
      <c r="F71" s="261"/>
      <c r="G71" s="261"/>
      <c r="H71" s="261"/>
      <c r="I71" s="261"/>
      <c r="J71" s="260"/>
      <c r="K71" s="260"/>
      <c r="M71" s="33"/>
      <c r="N71" s="33"/>
      <c r="O71" s="33"/>
      <c r="P71" s="33"/>
      <c r="Q71" s="65"/>
      <c r="R71" s="65"/>
    </row>
    <row r="72" spans="2:18" x14ac:dyDescent="0.2">
      <c r="B72" s="261"/>
      <c r="C72" s="261"/>
      <c r="D72" s="261"/>
      <c r="E72" s="261"/>
      <c r="F72" s="261"/>
      <c r="G72" s="261"/>
      <c r="H72" s="261"/>
      <c r="I72" s="261"/>
      <c r="J72" s="260"/>
      <c r="K72" s="260"/>
      <c r="M72" s="33"/>
      <c r="N72" s="33"/>
      <c r="O72" s="33"/>
      <c r="P72" s="33"/>
      <c r="Q72" s="65"/>
      <c r="R72" s="65"/>
    </row>
    <row r="73" spans="2:18" ht="58.5" customHeight="1" x14ac:dyDescent="0.2">
      <c r="B73" s="261"/>
      <c r="C73" s="261"/>
      <c r="D73" s="261"/>
      <c r="E73" s="261"/>
      <c r="F73" s="261"/>
      <c r="G73" s="261"/>
      <c r="H73" s="261"/>
      <c r="I73" s="261"/>
      <c r="J73" s="260"/>
      <c r="K73" s="260"/>
      <c r="M73" s="33"/>
      <c r="N73" s="33"/>
      <c r="O73" s="33"/>
      <c r="P73" s="33"/>
      <c r="Q73" s="65"/>
      <c r="R73" s="65"/>
    </row>
    <row r="74" spans="2:18" ht="6.75" hidden="1" customHeight="1" x14ac:dyDescent="0.2">
      <c r="B74" s="261"/>
      <c r="C74" s="261"/>
      <c r="D74" s="261"/>
      <c r="E74" s="261"/>
      <c r="F74" s="261"/>
      <c r="G74" s="261"/>
      <c r="H74" s="261"/>
      <c r="I74" s="261"/>
      <c r="J74" s="260"/>
      <c r="K74" s="260"/>
      <c r="M74" s="33"/>
      <c r="N74" s="33"/>
      <c r="O74" s="33"/>
      <c r="P74" s="33"/>
      <c r="Q74" s="65"/>
      <c r="R74" s="65"/>
    </row>
    <row r="75" spans="2:18" ht="49.5" customHeight="1" x14ac:dyDescent="0.2">
      <c r="B75" s="261"/>
      <c r="C75" s="261"/>
      <c r="D75" s="261"/>
      <c r="E75" s="261"/>
      <c r="F75" s="261"/>
      <c r="G75" s="261"/>
      <c r="H75" s="261"/>
      <c r="I75" s="261"/>
      <c r="J75" s="260"/>
      <c r="K75" s="260"/>
      <c r="M75" s="33"/>
      <c r="N75" s="33"/>
      <c r="O75" s="33"/>
      <c r="P75" s="33"/>
      <c r="Q75" s="65"/>
      <c r="R75" s="65"/>
    </row>
    <row r="76" spans="2:18" ht="7.5" hidden="1" customHeight="1" x14ac:dyDescent="0.2">
      <c r="B76" s="261"/>
      <c r="C76" s="261"/>
      <c r="D76" s="261"/>
      <c r="E76" s="261"/>
      <c r="F76" s="261"/>
      <c r="G76" s="261"/>
      <c r="H76" s="261"/>
      <c r="I76" s="261"/>
      <c r="J76" s="260"/>
      <c r="K76" s="260"/>
      <c r="M76" s="33"/>
      <c r="N76" s="33"/>
      <c r="O76" s="33"/>
      <c r="P76" s="33"/>
      <c r="Q76" s="65"/>
      <c r="R76" s="65"/>
    </row>
    <row r="77" spans="2:18" ht="30" customHeight="1" x14ac:dyDescent="0.2">
      <c r="B77" s="261"/>
      <c r="C77" s="261"/>
      <c r="D77" s="261"/>
      <c r="E77" s="261"/>
      <c r="F77" s="261"/>
      <c r="G77" s="261"/>
      <c r="H77" s="261"/>
      <c r="I77" s="261"/>
      <c r="J77" s="260"/>
      <c r="K77" s="260"/>
      <c r="M77" s="33"/>
      <c r="N77" s="33"/>
      <c r="O77" s="33"/>
      <c r="P77" s="33"/>
      <c r="Q77" s="65"/>
      <c r="R77" s="65"/>
    </row>
    <row r="78" spans="2:18" hidden="1" x14ac:dyDescent="0.2">
      <c r="B78" s="63"/>
      <c r="C78" s="63"/>
      <c r="M78" s="33"/>
      <c r="N78" s="33"/>
      <c r="O78" s="33"/>
      <c r="P78" s="33"/>
      <c r="Q78" s="65"/>
      <c r="R78" s="65"/>
    </row>
    <row r="79" spans="2:18" hidden="1" x14ac:dyDescent="0.2">
      <c r="B79" s="64"/>
      <c r="C79" s="64"/>
      <c r="M79" s="33"/>
      <c r="N79" s="33"/>
      <c r="O79" s="33"/>
      <c r="P79" s="33"/>
      <c r="Q79" s="65"/>
      <c r="R79" s="65"/>
    </row>
    <row r="80" spans="2:18" hidden="1" x14ac:dyDescent="0.2">
      <c r="B80" s="64"/>
      <c r="C80" s="64"/>
      <c r="M80" s="33"/>
      <c r="N80" s="33"/>
      <c r="O80" s="33"/>
      <c r="P80" s="33"/>
      <c r="Q80" s="65"/>
      <c r="R80" s="65"/>
    </row>
    <row r="81" spans="1:28" hidden="1" x14ac:dyDescent="0.2">
      <c r="B81" s="64"/>
      <c r="C81" s="64"/>
      <c r="M81" s="33"/>
      <c r="N81" s="33"/>
      <c r="O81" s="33"/>
      <c r="P81" s="33"/>
      <c r="Q81" s="65"/>
      <c r="R81" s="65"/>
    </row>
    <row r="82" spans="1:28" hidden="1" x14ac:dyDescent="0.2">
      <c r="B82" s="64"/>
      <c r="C82" s="64"/>
      <c r="M82" s="33"/>
      <c r="N82" s="33"/>
      <c r="O82" s="33"/>
      <c r="P82" s="33"/>
      <c r="Q82" s="65"/>
      <c r="R82" s="65"/>
    </row>
    <row r="83" spans="1:28" s="65" customFormat="1" hidden="1" x14ac:dyDescent="0.2">
      <c r="A83" s="22"/>
      <c r="B83" s="64"/>
      <c r="C83" s="64"/>
      <c r="M83" s="33"/>
      <c r="N83" s="33"/>
      <c r="O83" s="33"/>
      <c r="P83" s="33"/>
    </row>
    <row r="84" spans="1:28" hidden="1" x14ac:dyDescent="0.2">
      <c r="M84" s="33"/>
      <c r="N84" s="33"/>
      <c r="O84" s="33"/>
      <c r="P84" s="33"/>
      <c r="Q84" s="65"/>
      <c r="R84" s="65"/>
    </row>
    <row r="85" spans="1:28" x14ac:dyDescent="0.2">
      <c r="B85" s="66" t="s">
        <v>84</v>
      </c>
      <c r="C85" s="66"/>
      <c r="M85" s="33"/>
      <c r="N85" s="33"/>
      <c r="O85" s="33"/>
      <c r="P85" s="33"/>
      <c r="Q85" s="65"/>
      <c r="R85" s="65"/>
    </row>
    <row r="86" spans="1:28" x14ac:dyDescent="0.2">
      <c r="M86" s="33"/>
      <c r="N86" s="33"/>
      <c r="O86" s="33"/>
      <c r="P86" s="33"/>
      <c r="Q86" s="65"/>
      <c r="R86" s="65"/>
    </row>
    <row r="87" spans="1:28" x14ac:dyDescent="0.2">
      <c r="M87" s="33"/>
      <c r="N87" s="33"/>
      <c r="O87" s="33"/>
      <c r="P87" s="33"/>
      <c r="Q87" s="65"/>
      <c r="R87" s="65"/>
    </row>
    <row r="88" spans="1:28" x14ac:dyDescent="0.2">
      <c r="B88" s="259" t="s">
        <v>85</v>
      </c>
      <c r="C88" s="259"/>
      <c r="D88" s="259"/>
      <c r="F88" s="259" t="s">
        <v>86</v>
      </c>
      <c r="G88" s="259"/>
      <c r="H88" s="259"/>
      <c r="I88" s="259"/>
      <c r="J88" s="259"/>
      <c r="K88" s="259"/>
      <c r="M88" s="33"/>
      <c r="N88" s="33"/>
      <c r="O88" s="33"/>
      <c r="P88" s="33"/>
      <c r="Q88" s="65"/>
      <c r="R88" s="65"/>
    </row>
    <row r="89" spans="1:28" x14ac:dyDescent="0.2">
      <c r="M89" s="33"/>
      <c r="N89" s="33"/>
      <c r="O89" s="33"/>
      <c r="P89" s="33"/>
      <c r="Q89" s="65"/>
      <c r="R89" s="65"/>
    </row>
    <row r="90" spans="1:28" x14ac:dyDescent="0.2">
      <c r="B90" s="67"/>
      <c r="C90" s="67"/>
      <c r="D90" s="67"/>
      <c r="E90" s="67"/>
      <c r="F90" s="67"/>
      <c r="G90" s="67"/>
      <c r="H90" s="67"/>
      <c r="I90" s="67"/>
      <c r="J90" s="33"/>
      <c r="K90" s="33"/>
      <c r="L90" s="33"/>
      <c r="M90" s="33"/>
      <c r="N90" s="33"/>
      <c r="O90" s="33"/>
      <c r="P90" s="33"/>
      <c r="Q90" s="33"/>
      <c r="R90" s="33"/>
      <c r="S90" s="33"/>
      <c r="T90" s="31"/>
      <c r="U90" s="31"/>
      <c r="V90" s="31"/>
      <c r="W90" s="31"/>
      <c r="X90" s="31"/>
      <c r="Y90" s="31"/>
      <c r="Z90" s="31"/>
      <c r="AA90" s="31"/>
      <c r="AB90" s="31"/>
    </row>
    <row r="91" spans="1:28" x14ac:dyDescent="0.2">
      <c r="B91" s="67"/>
      <c r="C91" s="67"/>
      <c r="D91" s="67"/>
      <c r="E91" s="67"/>
      <c r="F91" s="67"/>
      <c r="G91" s="67"/>
      <c r="H91" s="67"/>
      <c r="I91" s="67"/>
      <c r="J91" s="33"/>
      <c r="K91" s="33"/>
      <c r="L91" s="33"/>
      <c r="M91" s="33"/>
      <c r="N91" s="33"/>
      <c r="O91" s="33"/>
      <c r="P91" s="33"/>
      <c r="Q91" s="33"/>
      <c r="R91" s="33"/>
      <c r="S91" s="33"/>
      <c r="T91" s="31"/>
      <c r="U91" s="31"/>
      <c r="V91" s="31"/>
      <c r="W91" s="31"/>
      <c r="X91" s="31"/>
      <c r="Y91" s="31"/>
      <c r="Z91" s="31"/>
      <c r="AA91" s="31"/>
      <c r="AB91" s="31"/>
    </row>
    <row r="92" spans="1:28" x14ac:dyDescent="0.2">
      <c r="B92" s="67"/>
      <c r="C92" s="67"/>
      <c r="D92" s="67"/>
      <c r="E92" s="67"/>
      <c r="F92" s="67"/>
      <c r="G92" s="67"/>
      <c r="H92" s="67"/>
      <c r="I92" s="67"/>
    </row>
    <row r="93" spans="1:28" x14ac:dyDescent="0.2">
      <c r="B93" s="67"/>
      <c r="C93" s="67"/>
      <c r="D93" s="67"/>
      <c r="E93" s="67"/>
      <c r="F93" s="67"/>
      <c r="G93" s="67"/>
      <c r="H93" s="67"/>
      <c r="I93" s="67"/>
    </row>
    <row r="94" spans="1:28" x14ac:dyDescent="0.2">
      <c r="B94" s="262" t="s">
        <v>144</v>
      </c>
      <c r="C94" s="262"/>
      <c r="D94" s="262"/>
      <c r="E94" s="262"/>
      <c r="F94" s="262"/>
      <c r="G94" s="262"/>
      <c r="H94" s="262"/>
      <c r="I94" s="262"/>
      <c r="J94" s="68"/>
    </row>
    <row r="95" spans="1:28" x14ac:dyDescent="0.2">
      <c r="B95" s="263" t="s">
        <v>145</v>
      </c>
      <c r="C95" s="263"/>
      <c r="D95" s="263"/>
      <c r="E95" s="263"/>
      <c r="F95" s="263"/>
      <c r="G95" s="263"/>
      <c r="H95" s="263"/>
      <c r="I95" s="263"/>
      <c r="J95" s="68"/>
    </row>
    <row r="96" spans="1:28" x14ac:dyDescent="0.2">
      <c r="B96" s="262" t="s">
        <v>146</v>
      </c>
      <c r="C96" s="262"/>
      <c r="D96" s="262"/>
      <c r="E96" s="262"/>
      <c r="F96" s="262"/>
      <c r="G96" s="262"/>
      <c r="H96" s="262"/>
      <c r="I96" s="262"/>
      <c r="J96" s="68"/>
    </row>
    <row r="97" spans="1:10" x14ac:dyDescent="0.2">
      <c r="B97" s="262" t="s">
        <v>147</v>
      </c>
      <c r="C97" s="262"/>
      <c r="D97" s="262"/>
      <c r="E97" s="262"/>
      <c r="F97" s="262"/>
      <c r="G97" s="262"/>
      <c r="H97" s="262"/>
      <c r="I97" s="262"/>
      <c r="J97" s="68"/>
    </row>
    <row r="98" spans="1:10" x14ac:dyDescent="0.2">
      <c r="B98" s="262" t="s">
        <v>148</v>
      </c>
      <c r="C98" s="262"/>
      <c r="D98" s="262"/>
      <c r="E98" s="262"/>
      <c r="F98" s="262"/>
      <c r="G98" s="262"/>
      <c r="H98" s="262"/>
      <c r="I98" s="262"/>
      <c r="J98" s="68"/>
    </row>
    <row r="99" spans="1:10" x14ac:dyDescent="0.2">
      <c r="B99" s="68"/>
      <c r="C99" s="68"/>
      <c r="D99" s="68"/>
      <c r="E99" s="68"/>
      <c r="F99" s="68"/>
      <c r="G99" s="68"/>
      <c r="H99" s="68"/>
      <c r="I99" s="68"/>
      <c r="J99" s="68"/>
    </row>
    <row r="100" spans="1:10" x14ac:dyDescent="0.2">
      <c r="B100" s="67"/>
      <c r="C100" s="67"/>
      <c r="D100" s="67"/>
      <c r="E100" s="67"/>
      <c r="F100" s="67"/>
      <c r="G100" s="67"/>
      <c r="H100" s="67"/>
      <c r="I100" s="67"/>
    </row>
    <row r="101" spans="1:10" x14ac:dyDescent="0.2">
      <c r="B101" s="67"/>
      <c r="C101" s="67"/>
      <c r="D101" s="67"/>
      <c r="E101" s="67"/>
      <c r="F101" s="67"/>
      <c r="G101" s="67"/>
      <c r="H101" s="67"/>
      <c r="I101" s="67"/>
    </row>
    <row r="102" spans="1:10" x14ac:dyDescent="0.2">
      <c r="B102" s="67"/>
      <c r="C102" s="67"/>
      <c r="D102" s="67"/>
      <c r="E102" s="67"/>
      <c r="F102" s="67"/>
      <c r="G102" s="67"/>
      <c r="H102" s="67"/>
      <c r="I102" s="67"/>
    </row>
    <row r="103" spans="1:10" x14ac:dyDescent="0.2">
      <c r="B103" s="67"/>
      <c r="C103" s="67"/>
      <c r="D103" s="67"/>
      <c r="E103" s="67"/>
      <c r="F103" s="67"/>
      <c r="G103" s="67"/>
      <c r="H103" s="67"/>
      <c r="I103" s="67"/>
    </row>
    <row r="107" spans="1:10" x14ac:dyDescent="0.2">
      <c r="A107" s="65"/>
    </row>
  </sheetData>
  <sheetProtection password="C931" sheet="1" selectLockedCells="1"/>
  <mergeCells count="66">
    <mergeCell ref="C9:D9"/>
    <mergeCell ref="B35:C35"/>
    <mergeCell ref="C10:D10"/>
    <mergeCell ref="C12:D12"/>
    <mergeCell ref="B25:C25"/>
    <mergeCell ref="B26:C26"/>
    <mergeCell ref="B28:C28"/>
    <mergeCell ref="B29:C29"/>
    <mergeCell ref="B30:C30"/>
    <mergeCell ref="B31:C31"/>
    <mergeCell ref="B32:C32"/>
    <mergeCell ref="B33:C33"/>
    <mergeCell ref="B34:C34"/>
    <mergeCell ref="B10:B12"/>
    <mergeCell ref="B27:C27"/>
    <mergeCell ref="L1:L3"/>
    <mergeCell ref="I2:I3"/>
    <mergeCell ref="C6:D6"/>
    <mergeCell ref="C7:D7"/>
    <mergeCell ref="C8:D8"/>
    <mergeCell ref="B47:C47"/>
    <mergeCell ref="B36:C36"/>
    <mergeCell ref="B37:C37"/>
    <mergeCell ref="B38:C38"/>
    <mergeCell ref="B39:C39"/>
    <mergeCell ref="B40:C40"/>
    <mergeCell ref="B41:C41"/>
    <mergeCell ref="B42:C42"/>
    <mergeCell ref="B43:C43"/>
    <mergeCell ref="B44:C44"/>
    <mergeCell ref="B45:C45"/>
    <mergeCell ref="B46:C46"/>
    <mergeCell ref="B59:C59"/>
    <mergeCell ref="B48:C48"/>
    <mergeCell ref="B49:C49"/>
    <mergeCell ref="B50:C50"/>
    <mergeCell ref="B51:C51"/>
    <mergeCell ref="B52:C52"/>
    <mergeCell ref="B53:C53"/>
    <mergeCell ref="B54:C54"/>
    <mergeCell ref="B55:C55"/>
    <mergeCell ref="B56:C56"/>
    <mergeCell ref="B57:C57"/>
    <mergeCell ref="B58:C58"/>
    <mergeCell ref="B60:C60"/>
    <mergeCell ref="B61:C61"/>
    <mergeCell ref="B62:C62"/>
    <mergeCell ref="B63:C63"/>
    <mergeCell ref="B64:C64"/>
    <mergeCell ref="B98:I98"/>
    <mergeCell ref="B94:I94"/>
    <mergeCell ref="B95:I95"/>
    <mergeCell ref="B88:D88"/>
    <mergeCell ref="F88:K88"/>
    <mergeCell ref="J77:K77"/>
    <mergeCell ref="B65:C65"/>
    <mergeCell ref="B69:I77"/>
    <mergeCell ref="B96:I96"/>
    <mergeCell ref="B97:I97"/>
    <mergeCell ref="J70:K70"/>
    <mergeCell ref="J71:K71"/>
    <mergeCell ref="J72:K72"/>
    <mergeCell ref="J73:K73"/>
    <mergeCell ref="J74:K74"/>
    <mergeCell ref="J75:K75"/>
    <mergeCell ref="J76:K76"/>
  </mergeCells>
  <hyperlinks>
    <hyperlink ref="L4" location="Input!A1" display="Return to Input" xr:uid="{00000000-0004-0000-0700-000000000000}"/>
  </hyperlinks>
  <printOptions horizontalCentered="1" verticalCentered="1"/>
  <pageMargins left="0.39370078740157483" right="0.39370078740157483" top="0" bottom="0" header="0.31496062992125984" footer="0.31496062992125984"/>
  <pageSetup paperSize="258" scale="64" orientation="portrait" verticalDpi="4294967293" r:id="rId1"/>
  <rowBreaks count="1" manualBreakCount="1">
    <brk id="67" min="1"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50"/>
    <pageSetUpPr fitToPage="1"/>
  </sheetPr>
  <dimension ref="A1:AB128"/>
  <sheetViews>
    <sheetView topLeftCell="B4" workbookViewId="0">
      <selection activeCell="L4" sqref="L4"/>
    </sheetView>
  </sheetViews>
  <sheetFormatPr defaultColWidth="8.875" defaultRowHeight="15" x14ac:dyDescent="0.2"/>
  <cols>
    <col min="1" max="1" width="15.33203125" style="22" customWidth="1"/>
    <col min="2" max="2" width="27.171875" style="22" customWidth="1"/>
    <col min="3" max="3" width="7.3984375" style="22" customWidth="1"/>
    <col min="4" max="5" width="25.69140625" style="22" customWidth="1"/>
    <col min="6" max="7" width="25.69140625" style="22" hidden="1" customWidth="1"/>
    <col min="8" max="9" width="25.69140625" style="22" customWidth="1"/>
    <col min="10" max="11" width="0" style="22" hidden="1" customWidth="1"/>
    <col min="12" max="12" width="26.09765625" style="22" customWidth="1"/>
    <col min="13" max="13" width="15.46875" style="22" bestFit="1" customWidth="1"/>
    <col min="14" max="258" width="8.875" style="22"/>
    <col min="259" max="259" width="1.74609375" style="22" customWidth="1"/>
    <col min="260" max="260" width="27.171875" style="22" customWidth="1"/>
    <col min="261" max="261" width="7.3984375" style="22" customWidth="1"/>
    <col min="262" max="262" width="18.29296875" style="22" customWidth="1"/>
    <col min="263" max="263" width="18.4296875" style="22" customWidth="1"/>
    <col min="264" max="264" width="17.484375" style="22" customWidth="1"/>
    <col min="265" max="265" width="20.84765625" style="22" customWidth="1"/>
    <col min="266" max="267" width="8.875" style="22"/>
    <col min="268" max="268" width="26.09765625" style="22" customWidth="1"/>
    <col min="269" max="514" width="8.875" style="22"/>
    <col min="515" max="515" width="1.74609375" style="22" customWidth="1"/>
    <col min="516" max="516" width="27.171875" style="22" customWidth="1"/>
    <col min="517" max="517" width="7.3984375" style="22" customWidth="1"/>
    <col min="518" max="518" width="18.29296875" style="22" customWidth="1"/>
    <col min="519" max="519" width="18.4296875" style="22" customWidth="1"/>
    <col min="520" max="520" width="17.484375" style="22" customWidth="1"/>
    <col min="521" max="521" width="20.84765625" style="22" customWidth="1"/>
    <col min="522" max="523" width="8.875" style="22"/>
    <col min="524" max="524" width="26.09765625" style="22" customWidth="1"/>
    <col min="525" max="770" width="8.875" style="22"/>
    <col min="771" max="771" width="1.74609375" style="22" customWidth="1"/>
    <col min="772" max="772" width="27.171875" style="22" customWidth="1"/>
    <col min="773" max="773" width="7.3984375" style="22" customWidth="1"/>
    <col min="774" max="774" width="18.29296875" style="22" customWidth="1"/>
    <col min="775" max="775" width="18.4296875" style="22" customWidth="1"/>
    <col min="776" max="776" width="17.484375" style="22" customWidth="1"/>
    <col min="777" max="777" width="20.84765625" style="22" customWidth="1"/>
    <col min="778" max="779" width="8.875" style="22"/>
    <col min="780" max="780" width="26.09765625" style="22" customWidth="1"/>
    <col min="781" max="1026" width="8.875" style="22"/>
    <col min="1027" max="1027" width="1.74609375" style="22" customWidth="1"/>
    <col min="1028" max="1028" width="27.171875" style="22" customWidth="1"/>
    <col min="1029" max="1029" width="7.3984375" style="22" customWidth="1"/>
    <col min="1030" max="1030" width="18.29296875" style="22" customWidth="1"/>
    <col min="1031" max="1031" width="18.4296875" style="22" customWidth="1"/>
    <col min="1032" max="1032" width="17.484375" style="22" customWidth="1"/>
    <col min="1033" max="1033" width="20.84765625" style="22" customWidth="1"/>
    <col min="1034" max="1035" width="8.875" style="22"/>
    <col min="1036" max="1036" width="26.09765625" style="22" customWidth="1"/>
    <col min="1037" max="1282" width="8.875" style="22"/>
    <col min="1283" max="1283" width="1.74609375" style="22" customWidth="1"/>
    <col min="1284" max="1284" width="27.171875" style="22" customWidth="1"/>
    <col min="1285" max="1285" width="7.3984375" style="22" customWidth="1"/>
    <col min="1286" max="1286" width="18.29296875" style="22" customWidth="1"/>
    <col min="1287" max="1287" width="18.4296875" style="22" customWidth="1"/>
    <col min="1288" max="1288" width="17.484375" style="22" customWidth="1"/>
    <col min="1289" max="1289" width="20.84765625" style="22" customWidth="1"/>
    <col min="1290" max="1291" width="8.875" style="22"/>
    <col min="1292" max="1292" width="26.09765625" style="22" customWidth="1"/>
    <col min="1293" max="1538" width="8.875" style="22"/>
    <col min="1539" max="1539" width="1.74609375" style="22" customWidth="1"/>
    <col min="1540" max="1540" width="27.171875" style="22" customWidth="1"/>
    <col min="1541" max="1541" width="7.3984375" style="22" customWidth="1"/>
    <col min="1542" max="1542" width="18.29296875" style="22" customWidth="1"/>
    <col min="1543" max="1543" width="18.4296875" style="22" customWidth="1"/>
    <col min="1544" max="1544" width="17.484375" style="22" customWidth="1"/>
    <col min="1545" max="1545" width="20.84765625" style="22" customWidth="1"/>
    <col min="1546" max="1547" width="8.875" style="22"/>
    <col min="1548" max="1548" width="26.09765625" style="22" customWidth="1"/>
    <col min="1549" max="1794" width="8.875" style="22"/>
    <col min="1795" max="1795" width="1.74609375" style="22" customWidth="1"/>
    <col min="1796" max="1796" width="27.171875" style="22" customWidth="1"/>
    <col min="1797" max="1797" width="7.3984375" style="22" customWidth="1"/>
    <col min="1798" max="1798" width="18.29296875" style="22" customWidth="1"/>
    <col min="1799" max="1799" width="18.4296875" style="22" customWidth="1"/>
    <col min="1800" max="1800" width="17.484375" style="22" customWidth="1"/>
    <col min="1801" max="1801" width="20.84765625" style="22" customWidth="1"/>
    <col min="1802" max="1803" width="8.875" style="22"/>
    <col min="1804" max="1804" width="26.09765625" style="22" customWidth="1"/>
    <col min="1805" max="2050" width="8.875" style="22"/>
    <col min="2051" max="2051" width="1.74609375" style="22" customWidth="1"/>
    <col min="2052" max="2052" width="27.171875" style="22" customWidth="1"/>
    <col min="2053" max="2053" width="7.3984375" style="22" customWidth="1"/>
    <col min="2054" max="2054" width="18.29296875" style="22" customWidth="1"/>
    <col min="2055" max="2055" width="18.4296875" style="22" customWidth="1"/>
    <col min="2056" max="2056" width="17.484375" style="22" customWidth="1"/>
    <col min="2057" max="2057" width="20.84765625" style="22" customWidth="1"/>
    <col min="2058" max="2059" width="8.875" style="22"/>
    <col min="2060" max="2060" width="26.09765625" style="22" customWidth="1"/>
    <col min="2061" max="2306" width="8.875" style="22"/>
    <col min="2307" max="2307" width="1.74609375" style="22" customWidth="1"/>
    <col min="2308" max="2308" width="27.171875" style="22" customWidth="1"/>
    <col min="2309" max="2309" width="7.3984375" style="22" customWidth="1"/>
    <col min="2310" max="2310" width="18.29296875" style="22" customWidth="1"/>
    <col min="2311" max="2311" width="18.4296875" style="22" customWidth="1"/>
    <col min="2312" max="2312" width="17.484375" style="22" customWidth="1"/>
    <col min="2313" max="2313" width="20.84765625" style="22" customWidth="1"/>
    <col min="2314" max="2315" width="8.875" style="22"/>
    <col min="2316" max="2316" width="26.09765625" style="22" customWidth="1"/>
    <col min="2317" max="2562" width="8.875" style="22"/>
    <col min="2563" max="2563" width="1.74609375" style="22" customWidth="1"/>
    <col min="2564" max="2564" width="27.171875" style="22" customWidth="1"/>
    <col min="2565" max="2565" width="7.3984375" style="22" customWidth="1"/>
    <col min="2566" max="2566" width="18.29296875" style="22" customWidth="1"/>
    <col min="2567" max="2567" width="18.4296875" style="22" customWidth="1"/>
    <col min="2568" max="2568" width="17.484375" style="22" customWidth="1"/>
    <col min="2569" max="2569" width="20.84765625" style="22" customWidth="1"/>
    <col min="2570" max="2571" width="8.875" style="22"/>
    <col min="2572" max="2572" width="26.09765625" style="22" customWidth="1"/>
    <col min="2573" max="2818" width="8.875" style="22"/>
    <col min="2819" max="2819" width="1.74609375" style="22" customWidth="1"/>
    <col min="2820" max="2820" width="27.171875" style="22" customWidth="1"/>
    <col min="2821" max="2821" width="7.3984375" style="22" customWidth="1"/>
    <col min="2822" max="2822" width="18.29296875" style="22" customWidth="1"/>
    <col min="2823" max="2823" width="18.4296875" style="22" customWidth="1"/>
    <col min="2824" max="2824" width="17.484375" style="22" customWidth="1"/>
    <col min="2825" max="2825" width="20.84765625" style="22" customWidth="1"/>
    <col min="2826" max="2827" width="8.875" style="22"/>
    <col min="2828" max="2828" width="26.09765625" style="22" customWidth="1"/>
    <col min="2829" max="3074" width="8.875" style="22"/>
    <col min="3075" max="3075" width="1.74609375" style="22" customWidth="1"/>
    <col min="3076" max="3076" width="27.171875" style="22" customWidth="1"/>
    <col min="3077" max="3077" width="7.3984375" style="22" customWidth="1"/>
    <col min="3078" max="3078" width="18.29296875" style="22" customWidth="1"/>
    <col min="3079" max="3079" width="18.4296875" style="22" customWidth="1"/>
    <col min="3080" max="3080" width="17.484375" style="22" customWidth="1"/>
    <col min="3081" max="3081" width="20.84765625" style="22" customWidth="1"/>
    <col min="3082" max="3083" width="8.875" style="22"/>
    <col min="3084" max="3084" width="26.09765625" style="22" customWidth="1"/>
    <col min="3085" max="3330" width="8.875" style="22"/>
    <col min="3331" max="3331" width="1.74609375" style="22" customWidth="1"/>
    <col min="3332" max="3332" width="27.171875" style="22" customWidth="1"/>
    <col min="3333" max="3333" width="7.3984375" style="22" customWidth="1"/>
    <col min="3334" max="3334" width="18.29296875" style="22" customWidth="1"/>
    <col min="3335" max="3335" width="18.4296875" style="22" customWidth="1"/>
    <col min="3336" max="3336" width="17.484375" style="22" customWidth="1"/>
    <col min="3337" max="3337" width="20.84765625" style="22" customWidth="1"/>
    <col min="3338" max="3339" width="8.875" style="22"/>
    <col min="3340" max="3340" width="26.09765625" style="22" customWidth="1"/>
    <col min="3341" max="3586" width="8.875" style="22"/>
    <col min="3587" max="3587" width="1.74609375" style="22" customWidth="1"/>
    <col min="3588" max="3588" width="27.171875" style="22" customWidth="1"/>
    <col min="3589" max="3589" width="7.3984375" style="22" customWidth="1"/>
    <col min="3590" max="3590" width="18.29296875" style="22" customWidth="1"/>
    <col min="3591" max="3591" width="18.4296875" style="22" customWidth="1"/>
    <col min="3592" max="3592" width="17.484375" style="22" customWidth="1"/>
    <col min="3593" max="3593" width="20.84765625" style="22" customWidth="1"/>
    <col min="3594" max="3595" width="8.875" style="22"/>
    <col min="3596" max="3596" width="26.09765625" style="22" customWidth="1"/>
    <col min="3597" max="3842" width="8.875" style="22"/>
    <col min="3843" max="3843" width="1.74609375" style="22" customWidth="1"/>
    <col min="3844" max="3844" width="27.171875" style="22" customWidth="1"/>
    <col min="3845" max="3845" width="7.3984375" style="22" customWidth="1"/>
    <col min="3846" max="3846" width="18.29296875" style="22" customWidth="1"/>
    <col min="3847" max="3847" width="18.4296875" style="22" customWidth="1"/>
    <col min="3848" max="3848" width="17.484375" style="22" customWidth="1"/>
    <col min="3849" max="3849" width="20.84765625" style="22" customWidth="1"/>
    <col min="3850" max="3851" width="8.875" style="22"/>
    <col min="3852" max="3852" width="26.09765625" style="22" customWidth="1"/>
    <col min="3853" max="4098" width="8.875" style="22"/>
    <col min="4099" max="4099" width="1.74609375" style="22" customWidth="1"/>
    <col min="4100" max="4100" width="27.171875" style="22" customWidth="1"/>
    <col min="4101" max="4101" width="7.3984375" style="22" customWidth="1"/>
    <col min="4102" max="4102" width="18.29296875" style="22" customWidth="1"/>
    <col min="4103" max="4103" width="18.4296875" style="22" customWidth="1"/>
    <col min="4104" max="4104" width="17.484375" style="22" customWidth="1"/>
    <col min="4105" max="4105" width="20.84765625" style="22" customWidth="1"/>
    <col min="4106" max="4107" width="8.875" style="22"/>
    <col min="4108" max="4108" width="26.09765625" style="22" customWidth="1"/>
    <col min="4109" max="4354" width="8.875" style="22"/>
    <col min="4355" max="4355" width="1.74609375" style="22" customWidth="1"/>
    <col min="4356" max="4356" width="27.171875" style="22" customWidth="1"/>
    <col min="4357" max="4357" width="7.3984375" style="22" customWidth="1"/>
    <col min="4358" max="4358" width="18.29296875" style="22" customWidth="1"/>
    <col min="4359" max="4359" width="18.4296875" style="22" customWidth="1"/>
    <col min="4360" max="4360" width="17.484375" style="22" customWidth="1"/>
    <col min="4361" max="4361" width="20.84765625" style="22" customWidth="1"/>
    <col min="4362" max="4363" width="8.875" style="22"/>
    <col min="4364" max="4364" width="26.09765625" style="22" customWidth="1"/>
    <col min="4365" max="4610" width="8.875" style="22"/>
    <col min="4611" max="4611" width="1.74609375" style="22" customWidth="1"/>
    <col min="4612" max="4612" width="27.171875" style="22" customWidth="1"/>
    <col min="4613" max="4613" width="7.3984375" style="22" customWidth="1"/>
    <col min="4614" max="4614" width="18.29296875" style="22" customWidth="1"/>
    <col min="4615" max="4615" width="18.4296875" style="22" customWidth="1"/>
    <col min="4616" max="4616" width="17.484375" style="22" customWidth="1"/>
    <col min="4617" max="4617" width="20.84765625" style="22" customWidth="1"/>
    <col min="4618" max="4619" width="8.875" style="22"/>
    <col min="4620" max="4620" width="26.09765625" style="22" customWidth="1"/>
    <col min="4621" max="4866" width="8.875" style="22"/>
    <col min="4867" max="4867" width="1.74609375" style="22" customWidth="1"/>
    <col min="4868" max="4868" width="27.171875" style="22" customWidth="1"/>
    <col min="4869" max="4869" width="7.3984375" style="22" customWidth="1"/>
    <col min="4870" max="4870" width="18.29296875" style="22" customWidth="1"/>
    <col min="4871" max="4871" width="18.4296875" style="22" customWidth="1"/>
    <col min="4872" max="4872" width="17.484375" style="22" customWidth="1"/>
    <col min="4873" max="4873" width="20.84765625" style="22" customWidth="1"/>
    <col min="4874" max="4875" width="8.875" style="22"/>
    <col min="4876" max="4876" width="26.09765625" style="22" customWidth="1"/>
    <col min="4877" max="5122" width="8.875" style="22"/>
    <col min="5123" max="5123" width="1.74609375" style="22" customWidth="1"/>
    <col min="5124" max="5124" width="27.171875" style="22" customWidth="1"/>
    <col min="5125" max="5125" width="7.3984375" style="22" customWidth="1"/>
    <col min="5126" max="5126" width="18.29296875" style="22" customWidth="1"/>
    <col min="5127" max="5127" width="18.4296875" style="22" customWidth="1"/>
    <col min="5128" max="5128" width="17.484375" style="22" customWidth="1"/>
    <col min="5129" max="5129" width="20.84765625" style="22" customWidth="1"/>
    <col min="5130" max="5131" width="8.875" style="22"/>
    <col min="5132" max="5132" width="26.09765625" style="22" customWidth="1"/>
    <col min="5133" max="5378" width="8.875" style="22"/>
    <col min="5379" max="5379" width="1.74609375" style="22" customWidth="1"/>
    <col min="5380" max="5380" width="27.171875" style="22" customWidth="1"/>
    <col min="5381" max="5381" width="7.3984375" style="22" customWidth="1"/>
    <col min="5382" max="5382" width="18.29296875" style="22" customWidth="1"/>
    <col min="5383" max="5383" width="18.4296875" style="22" customWidth="1"/>
    <col min="5384" max="5384" width="17.484375" style="22" customWidth="1"/>
    <col min="5385" max="5385" width="20.84765625" style="22" customWidth="1"/>
    <col min="5386" max="5387" width="8.875" style="22"/>
    <col min="5388" max="5388" width="26.09765625" style="22" customWidth="1"/>
    <col min="5389" max="5634" width="8.875" style="22"/>
    <col min="5635" max="5635" width="1.74609375" style="22" customWidth="1"/>
    <col min="5636" max="5636" width="27.171875" style="22" customWidth="1"/>
    <col min="5637" max="5637" width="7.3984375" style="22" customWidth="1"/>
    <col min="5638" max="5638" width="18.29296875" style="22" customWidth="1"/>
    <col min="5639" max="5639" width="18.4296875" style="22" customWidth="1"/>
    <col min="5640" max="5640" width="17.484375" style="22" customWidth="1"/>
    <col min="5641" max="5641" width="20.84765625" style="22" customWidth="1"/>
    <col min="5642" max="5643" width="8.875" style="22"/>
    <col min="5644" max="5644" width="26.09765625" style="22" customWidth="1"/>
    <col min="5645" max="5890" width="8.875" style="22"/>
    <col min="5891" max="5891" width="1.74609375" style="22" customWidth="1"/>
    <col min="5892" max="5892" width="27.171875" style="22" customWidth="1"/>
    <col min="5893" max="5893" width="7.3984375" style="22" customWidth="1"/>
    <col min="5894" max="5894" width="18.29296875" style="22" customWidth="1"/>
    <col min="5895" max="5895" width="18.4296875" style="22" customWidth="1"/>
    <col min="5896" max="5896" width="17.484375" style="22" customWidth="1"/>
    <col min="5897" max="5897" width="20.84765625" style="22" customWidth="1"/>
    <col min="5898" max="5899" width="8.875" style="22"/>
    <col min="5900" max="5900" width="26.09765625" style="22" customWidth="1"/>
    <col min="5901" max="6146" width="8.875" style="22"/>
    <col min="6147" max="6147" width="1.74609375" style="22" customWidth="1"/>
    <col min="6148" max="6148" width="27.171875" style="22" customWidth="1"/>
    <col min="6149" max="6149" width="7.3984375" style="22" customWidth="1"/>
    <col min="6150" max="6150" width="18.29296875" style="22" customWidth="1"/>
    <col min="6151" max="6151" width="18.4296875" style="22" customWidth="1"/>
    <col min="6152" max="6152" width="17.484375" style="22" customWidth="1"/>
    <col min="6153" max="6153" width="20.84765625" style="22" customWidth="1"/>
    <col min="6154" max="6155" width="8.875" style="22"/>
    <col min="6156" max="6156" width="26.09765625" style="22" customWidth="1"/>
    <col min="6157" max="6402" width="8.875" style="22"/>
    <col min="6403" max="6403" width="1.74609375" style="22" customWidth="1"/>
    <col min="6404" max="6404" width="27.171875" style="22" customWidth="1"/>
    <col min="6405" max="6405" width="7.3984375" style="22" customWidth="1"/>
    <col min="6406" max="6406" width="18.29296875" style="22" customWidth="1"/>
    <col min="6407" max="6407" width="18.4296875" style="22" customWidth="1"/>
    <col min="6408" max="6408" width="17.484375" style="22" customWidth="1"/>
    <col min="6409" max="6409" width="20.84765625" style="22" customWidth="1"/>
    <col min="6410" max="6411" width="8.875" style="22"/>
    <col min="6412" max="6412" width="26.09765625" style="22" customWidth="1"/>
    <col min="6413" max="6658" width="8.875" style="22"/>
    <col min="6659" max="6659" width="1.74609375" style="22" customWidth="1"/>
    <col min="6660" max="6660" width="27.171875" style="22" customWidth="1"/>
    <col min="6661" max="6661" width="7.3984375" style="22" customWidth="1"/>
    <col min="6662" max="6662" width="18.29296875" style="22" customWidth="1"/>
    <col min="6663" max="6663" width="18.4296875" style="22" customWidth="1"/>
    <col min="6664" max="6664" width="17.484375" style="22" customWidth="1"/>
    <col min="6665" max="6665" width="20.84765625" style="22" customWidth="1"/>
    <col min="6666" max="6667" width="8.875" style="22"/>
    <col min="6668" max="6668" width="26.09765625" style="22" customWidth="1"/>
    <col min="6669" max="6914" width="8.875" style="22"/>
    <col min="6915" max="6915" width="1.74609375" style="22" customWidth="1"/>
    <col min="6916" max="6916" width="27.171875" style="22" customWidth="1"/>
    <col min="6917" max="6917" width="7.3984375" style="22" customWidth="1"/>
    <col min="6918" max="6918" width="18.29296875" style="22" customWidth="1"/>
    <col min="6919" max="6919" width="18.4296875" style="22" customWidth="1"/>
    <col min="6920" max="6920" width="17.484375" style="22" customWidth="1"/>
    <col min="6921" max="6921" width="20.84765625" style="22" customWidth="1"/>
    <col min="6922" max="6923" width="8.875" style="22"/>
    <col min="6924" max="6924" width="26.09765625" style="22" customWidth="1"/>
    <col min="6925" max="7170" width="8.875" style="22"/>
    <col min="7171" max="7171" width="1.74609375" style="22" customWidth="1"/>
    <col min="7172" max="7172" width="27.171875" style="22" customWidth="1"/>
    <col min="7173" max="7173" width="7.3984375" style="22" customWidth="1"/>
    <col min="7174" max="7174" width="18.29296875" style="22" customWidth="1"/>
    <col min="7175" max="7175" width="18.4296875" style="22" customWidth="1"/>
    <col min="7176" max="7176" width="17.484375" style="22" customWidth="1"/>
    <col min="7177" max="7177" width="20.84765625" style="22" customWidth="1"/>
    <col min="7178" max="7179" width="8.875" style="22"/>
    <col min="7180" max="7180" width="26.09765625" style="22" customWidth="1"/>
    <col min="7181" max="7426" width="8.875" style="22"/>
    <col min="7427" max="7427" width="1.74609375" style="22" customWidth="1"/>
    <col min="7428" max="7428" width="27.171875" style="22" customWidth="1"/>
    <col min="7429" max="7429" width="7.3984375" style="22" customWidth="1"/>
    <col min="7430" max="7430" width="18.29296875" style="22" customWidth="1"/>
    <col min="7431" max="7431" width="18.4296875" style="22" customWidth="1"/>
    <col min="7432" max="7432" width="17.484375" style="22" customWidth="1"/>
    <col min="7433" max="7433" width="20.84765625" style="22" customWidth="1"/>
    <col min="7434" max="7435" width="8.875" style="22"/>
    <col min="7436" max="7436" width="26.09765625" style="22" customWidth="1"/>
    <col min="7437" max="7682" width="8.875" style="22"/>
    <col min="7683" max="7683" width="1.74609375" style="22" customWidth="1"/>
    <col min="7684" max="7684" width="27.171875" style="22" customWidth="1"/>
    <col min="7685" max="7685" width="7.3984375" style="22" customWidth="1"/>
    <col min="7686" max="7686" width="18.29296875" style="22" customWidth="1"/>
    <col min="7687" max="7687" width="18.4296875" style="22" customWidth="1"/>
    <col min="7688" max="7688" width="17.484375" style="22" customWidth="1"/>
    <col min="7689" max="7689" width="20.84765625" style="22" customWidth="1"/>
    <col min="7690" max="7691" width="8.875" style="22"/>
    <col min="7692" max="7692" width="26.09765625" style="22" customWidth="1"/>
    <col min="7693" max="7938" width="8.875" style="22"/>
    <col min="7939" max="7939" width="1.74609375" style="22" customWidth="1"/>
    <col min="7940" max="7940" width="27.171875" style="22" customWidth="1"/>
    <col min="7941" max="7941" width="7.3984375" style="22" customWidth="1"/>
    <col min="7942" max="7942" width="18.29296875" style="22" customWidth="1"/>
    <col min="7943" max="7943" width="18.4296875" style="22" customWidth="1"/>
    <col min="7944" max="7944" width="17.484375" style="22" customWidth="1"/>
    <col min="7945" max="7945" width="20.84765625" style="22" customWidth="1"/>
    <col min="7946" max="7947" width="8.875" style="22"/>
    <col min="7948" max="7948" width="26.09765625" style="22" customWidth="1"/>
    <col min="7949" max="8194" width="8.875" style="22"/>
    <col min="8195" max="8195" width="1.74609375" style="22" customWidth="1"/>
    <col min="8196" max="8196" width="27.171875" style="22" customWidth="1"/>
    <col min="8197" max="8197" width="7.3984375" style="22" customWidth="1"/>
    <col min="8198" max="8198" width="18.29296875" style="22" customWidth="1"/>
    <col min="8199" max="8199" width="18.4296875" style="22" customWidth="1"/>
    <col min="8200" max="8200" width="17.484375" style="22" customWidth="1"/>
    <col min="8201" max="8201" width="20.84765625" style="22" customWidth="1"/>
    <col min="8202" max="8203" width="8.875" style="22"/>
    <col min="8204" max="8204" width="26.09765625" style="22" customWidth="1"/>
    <col min="8205" max="8450" width="8.875" style="22"/>
    <col min="8451" max="8451" width="1.74609375" style="22" customWidth="1"/>
    <col min="8452" max="8452" width="27.171875" style="22" customWidth="1"/>
    <col min="8453" max="8453" width="7.3984375" style="22" customWidth="1"/>
    <col min="8454" max="8454" width="18.29296875" style="22" customWidth="1"/>
    <col min="8455" max="8455" width="18.4296875" style="22" customWidth="1"/>
    <col min="8456" max="8456" width="17.484375" style="22" customWidth="1"/>
    <col min="8457" max="8457" width="20.84765625" style="22" customWidth="1"/>
    <col min="8458" max="8459" width="8.875" style="22"/>
    <col min="8460" max="8460" width="26.09765625" style="22" customWidth="1"/>
    <col min="8461" max="8706" width="8.875" style="22"/>
    <col min="8707" max="8707" width="1.74609375" style="22" customWidth="1"/>
    <col min="8708" max="8708" width="27.171875" style="22" customWidth="1"/>
    <col min="8709" max="8709" width="7.3984375" style="22" customWidth="1"/>
    <col min="8710" max="8710" width="18.29296875" style="22" customWidth="1"/>
    <col min="8711" max="8711" width="18.4296875" style="22" customWidth="1"/>
    <col min="8712" max="8712" width="17.484375" style="22" customWidth="1"/>
    <col min="8713" max="8713" width="20.84765625" style="22" customWidth="1"/>
    <col min="8714" max="8715" width="8.875" style="22"/>
    <col min="8716" max="8716" width="26.09765625" style="22" customWidth="1"/>
    <col min="8717" max="8962" width="8.875" style="22"/>
    <col min="8963" max="8963" width="1.74609375" style="22" customWidth="1"/>
    <col min="8964" max="8964" width="27.171875" style="22" customWidth="1"/>
    <col min="8965" max="8965" width="7.3984375" style="22" customWidth="1"/>
    <col min="8966" max="8966" width="18.29296875" style="22" customWidth="1"/>
    <col min="8967" max="8967" width="18.4296875" style="22" customWidth="1"/>
    <col min="8968" max="8968" width="17.484375" style="22" customWidth="1"/>
    <col min="8969" max="8969" width="20.84765625" style="22" customWidth="1"/>
    <col min="8970" max="8971" width="8.875" style="22"/>
    <col min="8972" max="8972" width="26.09765625" style="22" customWidth="1"/>
    <col min="8973" max="9218" width="8.875" style="22"/>
    <col min="9219" max="9219" width="1.74609375" style="22" customWidth="1"/>
    <col min="9220" max="9220" width="27.171875" style="22" customWidth="1"/>
    <col min="9221" max="9221" width="7.3984375" style="22" customWidth="1"/>
    <col min="9222" max="9222" width="18.29296875" style="22" customWidth="1"/>
    <col min="9223" max="9223" width="18.4296875" style="22" customWidth="1"/>
    <col min="9224" max="9224" width="17.484375" style="22" customWidth="1"/>
    <col min="9225" max="9225" width="20.84765625" style="22" customWidth="1"/>
    <col min="9226" max="9227" width="8.875" style="22"/>
    <col min="9228" max="9228" width="26.09765625" style="22" customWidth="1"/>
    <col min="9229" max="9474" width="8.875" style="22"/>
    <col min="9475" max="9475" width="1.74609375" style="22" customWidth="1"/>
    <col min="9476" max="9476" width="27.171875" style="22" customWidth="1"/>
    <col min="9477" max="9477" width="7.3984375" style="22" customWidth="1"/>
    <col min="9478" max="9478" width="18.29296875" style="22" customWidth="1"/>
    <col min="9479" max="9479" width="18.4296875" style="22" customWidth="1"/>
    <col min="9480" max="9480" width="17.484375" style="22" customWidth="1"/>
    <col min="9481" max="9481" width="20.84765625" style="22" customWidth="1"/>
    <col min="9482" max="9483" width="8.875" style="22"/>
    <col min="9484" max="9484" width="26.09765625" style="22" customWidth="1"/>
    <col min="9485" max="9730" width="8.875" style="22"/>
    <col min="9731" max="9731" width="1.74609375" style="22" customWidth="1"/>
    <col min="9732" max="9732" width="27.171875" style="22" customWidth="1"/>
    <col min="9733" max="9733" width="7.3984375" style="22" customWidth="1"/>
    <col min="9734" max="9734" width="18.29296875" style="22" customWidth="1"/>
    <col min="9735" max="9735" width="18.4296875" style="22" customWidth="1"/>
    <col min="9736" max="9736" width="17.484375" style="22" customWidth="1"/>
    <col min="9737" max="9737" width="20.84765625" style="22" customWidth="1"/>
    <col min="9738" max="9739" width="8.875" style="22"/>
    <col min="9740" max="9740" width="26.09765625" style="22" customWidth="1"/>
    <col min="9741" max="9986" width="8.875" style="22"/>
    <col min="9987" max="9987" width="1.74609375" style="22" customWidth="1"/>
    <col min="9988" max="9988" width="27.171875" style="22" customWidth="1"/>
    <col min="9989" max="9989" width="7.3984375" style="22" customWidth="1"/>
    <col min="9990" max="9990" width="18.29296875" style="22" customWidth="1"/>
    <col min="9991" max="9991" width="18.4296875" style="22" customWidth="1"/>
    <col min="9992" max="9992" width="17.484375" style="22" customWidth="1"/>
    <col min="9993" max="9993" width="20.84765625" style="22" customWidth="1"/>
    <col min="9994" max="9995" width="8.875" style="22"/>
    <col min="9996" max="9996" width="26.09765625" style="22" customWidth="1"/>
    <col min="9997" max="10242" width="8.875" style="22"/>
    <col min="10243" max="10243" width="1.74609375" style="22" customWidth="1"/>
    <col min="10244" max="10244" width="27.171875" style="22" customWidth="1"/>
    <col min="10245" max="10245" width="7.3984375" style="22" customWidth="1"/>
    <col min="10246" max="10246" width="18.29296875" style="22" customWidth="1"/>
    <col min="10247" max="10247" width="18.4296875" style="22" customWidth="1"/>
    <col min="10248" max="10248" width="17.484375" style="22" customWidth="1"/>
    <col min="10249" max="10249" width="20.84765625" style="22" customWidth="1"/>
    <col min="10250" max="10251" width="8.875" style="22"/>
    <col min="10252" max="10252" width="26.09765625" style="22" customWidth="1"/>
    <col min="10253" max="10498" width="8.875" style="22"/>
    <col min="10499" max="10499" width="1.74609375" style="22" customWidth="1"/>
    <col min="10500" max="10500" width="27.171875" style="22" customWidth="1"/>
    <col min="10501" max="10501" width="7.3984375" style="22" customWidth="1"/>
    <col min="10502" max="10502" width="18.29296875" style="22" customWidth="1"/>
    <col min="10503" max="10503" width="18.4296875" style="22" customWidth="1"/>
    <col min="10504" max="10504" width="17.484375" style="22" customWidth="1"/>
    <col min="10505" max="10505" width="20.84765625" style="22" customWidth="1"/>
    <col min="10506" max="10507" width="8.875" style="22"/>
    <col min="10508" max="10508" width="26.09765625" style="22" customWidth="1"/>
    <col min="10509" max="10754" width="8.875" style="22"/>
    <col min="10755" max="10755" width="1.74609375" style="22" customWidth="1"/>
    <col min="10756" max="10756" width="27.171875" style="22" customWidth="1"/>
    <col min="10757" max="10757" width="7.3984375" style="22" customWidth="1"/>
    <col min="10758" max="10758" width="18.29296875" style="22" customWidth="1"/>
    <col min="10759" max="10759" width="18.4296875" style="22" customWidth="1"/>
    <col min="10760" max="10760" width="17.484375" style="22" customWidth="1"/>
    <col min="10761" max="10761" width="20.84765625" style="22" customWidth="1"/>
    <col min="10762" max="10763" width="8.875" style="22"/>
    <col min="10764" max="10764" width="26.09765625" style="22" customWidth="1"/>
    <col min="10765" max="11010" width="8.875" style="22"/>
    <col min="11011" max="11011" width="1.74609375" style="22" customWidth="1"/>
    <col min="11012" max="11012" width="27.171875" style="22" customWidth="1"/>
    <col min="11013" max="11013" width="7.3984375" style="22" customWidth="1"/>
    <col min="11014" max="11014" width="18.29296875" style="22" customWidth="1"/>
    <col min="11015" max="11015" width="18.4296875" style="22" customWidth="1"/>
    <col min="11016" max="11016" width="17.484375" style="22" customWidth="1"/>
    <col min="11017" max="11017" width="20.84765625" style="22" customWidth="1"/>
    <col min="11018" max="11019" width="8.875" style="22"/>
    <col min="11020" max="11020" width="26.09765625" style="22" customWidth="1"/>
    <col min="11021" max="11266" width="8.875" style="22"/>
    <col min="11267" max="11267" width="1.74609375" style="22" customWidth="1"/>
    <col min="11268" max="11268" width="27.171875" style="22" customWidth="1"/>
    <col min="11269" max="11269" width="7.3984375" style="22" customWidth="1"/>
    <col min="11270" max="11270" width="18.29296875" style="22" customWidth="1"/>
    <col min="11271" max="11271" width="18.4296875" style="22" customWidth="1"/>
    <col min="11272" max="11272" width="17.484375" style="22" customWidth="1"/>
    <col min="11273" max="11273" width="20.84765625" style="22" customWidth="1"/>
    <col min="11274" max="11275" width="8.875" style="22"/>
    <col min="11276" max="11276" width="26.09765625" style="22" customWidth="1"/>
    <col min="11277" max="11522" width="8.875" style="22"/>
    <col min="11523" max="11523" width="1.74609375" style="22" customWidth="1"/>
    <col min="11524" max="11524" width="27.171875" style="22" customWidth="1"/>
    <col min="11525" max="11525" width="7.3984375" style="22" customWidth="1"/>
    <col min="11526" max="11526" width="18.29296875" style="22" customWidth="1"/>
    <col min="11527" max="11527" width="18.4296875" style="22" customWidth="1"/>
    <col min="11528" max="11528" width="17.484375" style="22" customWidth="1"/>
    <col min="11529" max="11529" width="20.84765625" style="22" customWidth="1"/>
    <col min="11530" max="11531" width="8.875" style="22"/>
    <col min="11532" max="11532" width="26.09765625" style="22" customWidth="1"/>
    <col min="11533" max="11778" width="8.875" style="22"/>
    <col min="11779" max="11779" width="1.74609375" style="22" customWidth="1"/>
    <col min="11780" max="11780" width="27.171875" style="22" customWidth="1"/>
    <col min="11781" max="11781" width="7.3984375" style="22" customWidth="1"/>
    <col min="11782" max="11782" width="18.29296875" style="22" customWidth="1"/>
    <col min="11783" max="11783" width="18.4296875" style="22" customWidth="1"/>
    <col min="11784" max="11784" width="17.484375" style="22" customWidth="1"/>
    <col min="11785" max="11785" width="20.84765625" style="22" customWidth="1"/>
    <col min="11786" max="11787" width="8.875" style="22"/>
    <col min="11788" max="11788" width="26.09765625" style="22" customWidth="1"/>
    <col min="11789" max="12034" width="8.875" style="22"/>
    <col min="12035" max="12035" width="1.74609375" style="22" customWidth="1"/>
    <col min="12036" max="12036" width="27.171875" style="22" customWidth="1"/>
    <col min="12037" max="12037" width="7.3984375" style="22" customWidth="1"/>
    <col min="12038" max="12038" width="18.29296875" style="22" customWidth="1"/>
    <col min="12039" max="12039" width="18.4296875" style="22" customWidth="1"/>
    <col min="12040" max="12040" width="17.484375" style="22" customWidth="1"/>
    <col min="12041" max="12041" width="20.84765625" style="22" customWidth="1"/>
    <col min="12042" max="12043" width="8.875" style="22"/>
    <col min="12044" max="12044" width="26.09765625" style="22" customWidth="1"/>
    <col min="12045" max="12290" width="8.875" style="22"/>
    <col min="12291" max="12291" width="1.74609375" style="22" customWidth="1"/>
    <col min="12292" max="12292" width="27.171875" style="22" customWidth="1"/>
    <col min="12293" max="12293" width="7.3984375" style="22" customWidth="1"/>
    <col min="12294" max="12294" width="18.29296875" style="22" customWidth="1"/>
    <col min="12295" max="12295" width="18.4296875" style="22" customWidth="1"/>
    <col min="12296" max="12296" width="17.484375" style="22" customWidth="1"/>
    <col min="12297" max="12297" width="20.84765625" style="22" customWidth="1"/>
    <col min="12298" max="12299" width="8.875" style="22"/>
    <col min="12300" max="12300" width="26.09765625" style="22" customWidth="1"/>
    <col min="12301" max="12546" width="8.875" style="22"/>
    <col min="12547" max="12547" width="1.74609375" style="22" customWidth="1"/>
    <col min="12548" max="12548" width="27.171875" style="22" customWidth="1"/>
    <col min="12549" max="12549" width="7.3984375" style="22" customWidth="1"/>
    <col min="12550" max="12550" width="18.29296875" style="22" customWidth="1"/>
    <col min="12551" max="12551" width="18.4296875" style="22" customWidth="1"/>
    <col min="12552" max="12552" width="17.484375" style="22" customWidth="1"/>
    <col min="12553" max="12553" width="20.84765625" style="22" customWidth="1"/>
    <col min="12554" max="12555" width="8.875" style="22"/>
    <col min="12556" max="12556" width="26.09765625" style="22" customWidth="1"/>
    <col min="12557" max="12802" width="8.875" style="22"/>
    <col min="12803" max="12803" width="1.74609375" style="22" customWidth="1"/>
    <col min="12804" max="12804" width="27.171875" style="22" customWidth="1"/>
    <col min="12805" max="12805" width="7.3984375" style="22" customWidth="1"/>
    <col min="12806" max="12806" width="18.29296875" style="22" customWidth="1"/>
    <col min="12807" max="12807" width="18.4296875" style="22" customWidth="1"/>
    <col min="12808" max="12808" width="17.484375" style="22" customWidth="1"/>
    <col min="12809" max="12809" width="20.84765625" style="22" customWidth="1"/>
    <col min="12810" max="12811" width="8.875" style="22"/>
    <col min="12812" max="12812" width="26.09765625" style="22" customWidth="1"/>
    <col min="12813" max="13058" width="8.875" style="22"/>
    <col min="13059" max="13059" width="1.74609375" style="22" customWidth="1"/>
    <col min="13060" max="13060" width="27.171875" style="22" customWidth="1"/>
    <col min="13061" max="13061" width="7.3984375" style="22" customWidth="1"/>
    <col min="13062" max="13062" width="18.29296875" style="22" customWidth="1"/>
    <col min="13063" max="13063" width="18.4296875" style="22" customWidth="1"/>
    <col min="13064" max="13064" width="17.484375" style="22" customWidth="1"/>
    <col min="13065" max="13065" width="20.84765625" style="22" customWidth="1"/>
    <col min="13066" max="13067" width="8.875" style="22"/>
    <col min="13068" max="13068" width="26.09765625" style="22" customWidth="1"/>
    <col min="13069" max="13314" width="8.875" style="22"/>
    <col min="13315" max="13315" width="1.74609375" style="22" customWidth="1"/>
    <col min="13316" max="13316" width="27.171875" style="22" customWidth="1"/>
    <col min="13317" max="13317" width="7.3984375" style="22" customWidth="1"/>
    <col min="13318" max="13318" width="18.29296875" style="22" customWidth="1"/>
    <col min="13319" max="13319" width="18.4296875" style="22" customWidth="1"/>
    <col min="13320" max="13320" width="17.484375" style="22" customWidth="1"/>
    <col min="13321" max="13321" width="20.84765625" style="22" customWidth="1"/>
    <col min="13322" max="13323" width="8.875" style="22"/>
    <col min="13324" max="13324" width="26.09765625" style="22" customWidth="1"/>
    <col min="13325" max="13570" width="8.875" style="22"/>
    <col min="13571" max="13571" width="1.74609375" style="22" customWidth="1"/>
    <col min="13572" max="13572" width="27.171875" style="22" customWidth="1"/>
    <col min="13573" max="13573" width="7.3984375" style="22" customWidth="1"/>
    <col min="13574" max="13574" width="18.29296875" style="22" customWidth="1"/>
    <col min="13575" max="13575" width="18.4296875" style="22" customWidth="1"/>
    <col min="13576" max="13576" width="17.484375" style="22" customWidth="1"/>
    <col min="13577" max="13577" width="20.84765625" style="22" customWidth="1"/>
    <col min="13578" max="13579" width="8.875" style="22"/>
    <col min="13580" max="13580" width="26.09765625" style="22" customWidth="1"/>
    <col min="13581" max="13826" width="8.875" style="22"/>
    <col min="13827" max="13827" width="1.74609375" style="22" customWidth="1"/>
    <col min="13828" max="13828" width="27.171875" style="22" customWidth="1"/>
    <col min="13829" max="13829" width="7.3984375" style="22" customWidth="1"/>
    <col min="13830" max="13830" width="18.29296875" style="22" customWidth="1"/>
    <col min="13831" max="13831" width="18.4296875" style="22" customWidth="1"/>
    <col min="13832" max="13832" width="17.484375" style="22" customWidth="1"/>
    <col min="13833" max="13833" width="20.84765625" style="22" customWidth="1"/>
    <col min="13834" max="13835" width="8.875" style="22"/>
    <col min="13836" max="13836" width="26.09765625" style="22" customWidth="1"/>
    <col min="13837" max="14082" width="8.875" style="22"/>
    <col min="14083" max="14083" width="1.74609375" style="22" customWidth="1"/>
    <col min="14084" max="14084" width="27.171875" style="22" customWidth="1"/>
    <col min="14085" max="14085" width="7.3984375" style="22" customWidth="1"/>
    <col min="14086" max="14086" width="18.29296875" style="22" customWidth="1"/>
    <col min="14087" max="14087" width="18.4296875" style="22" customWidth="1"/>
    <col min="14088" max="14088" width="17.484375" style="22" customWidth="1"/>
    <col min="14089" max="14089" width="20.84765625" style="22" customWidth="1"/>
    <col min="14090" max="14091" width="8.875" style="22"/>
    <col min="14092" max="14092" width="26.09765625" style="22" customWidth="1"/>
    <col min="14093" max="14338" width="8.875" style="22"/>
    <col min="14339" max="14339" width="1.74609375" style="22" customWidth="1"/>
    <col min="14340" max="14340" width="27.171875" style="22" customWidth="1"/>
    <col min="14341" max="14341" width="7.3984375" style="22" customWidth="1"/>
    <col min="14342" max="14342" width="18.29296875" style="22" customWidth="1"/>
    <col min="14343" max="14343" width="18.4296875" style="22" customWidth="1"/>
    <col min="14344" max="14344" width="17.484375" style="22" customWidth="1"/>
    <col min="14345" max="14345" width="20.84765625" style="22" customWidth="1"/>
    <col min="14346" max="14347" width="8.875" style="22"/>
    <col min="14348" max="14348" width="26.09765625" style="22" customWidth="1"/>
    <col min="14349" max="14594" width="8.875" style="22"/>
    <col min="14595" max="14595" width="1.74609375" style="22" customWidth="1"/>
    <col min="14596" max="14596" width="27.171875" style="22" customWidth="1"/>
    <col min="14597" max="14597" width="7.3984375" style="22" customWidth="1"/>
    <col min="14598" max="14598" width="18.29296875" style="22" customWidth="1"/>
    <col min="14599" max="14599" width="18.4296875" style="22" customWidth="1"/>
    <col min="14600" max="14600" width="17.484375" style="22" customWidth="1"/>
    <col min="14601" max="14601" width="20.84765625" style="22" customWidth="1"/>
    <col min="14602" max="14603" width="8.875" style="22"/>
    <col min="14604" max="14604" width="26.09765625" style="22" customWidth="1"/>
    <col min="14605" max="14850" width="8.875" style="22"/>
    <col min="14851" max="14851" width="1.74609375" style="22" customWidth="1"/>
    <col min="14852" max="14852" width="27.171875" style="22" customWidth="1"/>
    <col min="14853" max="14853" width="7.3984375" style="22" customWidth="1"/>
    <col min="14854" max="14854" width="18.29296875" style="22" customWidth="1"/>
    <col min="14855" max="14855" width="18.4296875" style="22" customWidth="1"/>
    <col min="14856" max="14856" width="17.484375" style="22" customWidth="1"/>
    <col min="14857" max="14857" width="20.84765625" style="22" customWidth="1"/>
    <col min="14858" max="14859" width="8.875" style="22"/>
    <col min="14860" max="14860" width="26.09765625" style="22" customWidth="1"/>
    <col min="14861" max="15106" width="8.875" style="22"/>
    <col min="15107" max="15107" width="1.74609375" style="22" customWidth="1"/>
    <col min="15108" max="15108" width="27.171875" style="22" customWidth="1"/>
    <col min="15109" max="15109" width="7.3984375" style="22" customWidth="1"/>
    <col min="15110" max="15110" width="18.29296875" style="22" customWidth="1"/>
    <col min="15111" max="15111" width="18.4296875" style="22" customWidth="1"/>
    <col min="15112" max="15112" width="17.484375" style="22" customWidth="1"/>
    <col min="15113" max="15113" width="20.84765625" style="22" customWidth="1"/>
    <col min="15114" max="15115" width="8.875" style="22"/>
    <col min="15116" max="15116" width="26.09765625" style="22" customWidth="1"/>
    <col min="15117" max="15362" width="8.875" style="22"/>
    <col min="15363" max="15363" width="1.74609375" style="22" customWidth="1"/>
    <col min="15364" max="15364" width="27.171875" style="22" customWidth="1"/>
    <col min="15365" max="15365" width="7.3984375" style="22" customWidth="1"/>
    <col min="15366" max="15366" width="18.29296875" style="22" customWidth="1"/>
    <col min="15367" max="15367" width="18.4296875" style="22" customWidth="1"/>
    <col min="15368" max="15368" width="17.484375" style="22" customWidth="1"/>
    <col min="15369" max="15369" width="20.84765625" style="22" customWidth="1"/>
    <col min="15370" max="15371" width="8.875" style="22"/>
    <col min="15372" max="15372" width="26.09765625" style="22" customWidth="1"/>
    <col min="15373" max="15618" width="8.875" style="22"/>
    <col min="15619" max="15619" width="1.74609375" style="22" customWidth="1"/>
    <col min="15620" max="15620" width="27.171875" style="22" customWidth="1"/>
    <col min="15621" max="15621" width="7.3984375" style="22" customWidth="1"/>
    <col min="15622" max="15622" width="18.29296875" style="22" customWidth="1"/>
    <col min="15623" max="15623" width="18.4296875" style="22" customWidth="1"/>
    <col min="15624" max="15624" width="17.484375" style="22" customWidth="1"/>
    <col min="15625" max="15625" width="20.84765625" style="22" customWidth="1"/>
    <col min="15626" max="15627" width="8.875" style="22"/>
    <col min="15628" max="15628" width="26.09765625" style="22" customWidth="1"/>
    <col min="15629" max="15874" width="8.875" style="22"/>
    <col min="15875" max="15875" width="1.74609375" style="22" customWidth="1"/>
    <col min="15876" max="15876" width="27.171875" style="22" customWidth="1"/>
    <col min="15877" max="15877" width="7.3984375" style="22" customWidth="1"/>
    <col min="15878" max="15878" width="18.29296875" style="22" customWidth="1"/>
    <col min="15879" max="15879" width="18.4296875" style="22" customWidth="1"/>
    <col min="15880" max="15880" width="17.484375" style="22" customWidth="1"/>
    <col min="15881" max="15881" width="20.84765625" style="22" customWidth="1"/>
    <col min="15882" max="15883" width="8.875" style="22"/>
    <col min="15884" max="15884" width="26.09765625" style="22" customWidth="1"/>
    <col min="15885" max="16130" width="8.875" style="22"/>
    <col min="16131" max="16131" width="1.74609375" style="22" customWidth="1"/>
    <col min="16132" max="16132" width="27.171875" style="22" customWidth="1"/>
    <col min="16133" max="16133" width="7.3984375" style="22" customWidth="1"/>
    <col min="16134" max="16134" width="18.29296875" style="22" customWidth="1"/>
    <col min="16135" max="16135" width="18.4296875" style="22" customWidth="1"/>
    <col min="16136" max="16136" width="17.484375" style="22" customWidth="1"/>
    <col min="16137" max="16137" width="20.84765625" style="22" customWidth="1"/>
    <col min="16138" max="16139" width="8.875" style="22"/>
    <col min="16140" max="16140" width="26.09765625" style="22" customWidth="1"/>
    <col min="16141" max="16384" width="8.875" style="22"/>
  </cols>
  <sheetData>
    <row r="1" spans="2:28" x14ac:dyDescent="0.2">
      <c r="L1" s="282"/>
    </row>
    <row r="2" spans="2:28" x14ac:dyDescent="0.2">
      <c r="C2" s="23" t="s">
        <v>53</v>
      </c>
      <c r="F2" s="24"/>
      <c r="G2" s="24"/>
      <c r="H2" s="24"/>
      <c r="I2" s="283" t="s">
        <v>55</v>
      </c>
      <c r="J2" s="25"/>
      <c r="L2" s="282"/>
    </row>
    <row r="3" spans="2:28" x14ac:dyDescent="0.2">
      <c r="C3" s="23" t="str">
        <f>INPUT!D43</f>
        <v>Nob Hill</v>
      </c>
      <c r="F3" s="26"/>
      <c r="G3" s="26"/>
      <c r="H3" s="26"/>
      <c r="I3" s="283"/>
      <c r="J3" s="25"/>
      <c r="L3" s="282"/>
    </row>
    <row r="4" spans="2:28" x14ac:dyDescent="0.2">
      <c r="C4" s="23" t="s">
        <v>58</v>
      </c>
      <c r="F4" s="25"/>
      <c r="G4" s="25"/>
      <c r="H4" s="25"/>
      <c r="I4" s="25"/>
      <c r="J4" s="25"/>
      <c r="L4" s="27" t="s">
        <v>59</v>
      </c>
    </row>
    <row r="5" spans="2:28" ht="15.75" thickBot="1" x14ac:dyDescent="0.25">
      <c r="F5" s="25"/>
      <c r="G5" s="25"/>
      <c r="H5" s="25"/>
      <c r="I5" s="25"/>
      <c r="J5" s="25"/>
    </row>
    <row r="6" spans="2:28" ht="33" customHeight="1" thickBot="1" x14ac:dyDescent="0.25">
      <c r="B6" s="28" t="s">
        <v>27</v>
      </c>
      <c r="C6" s="284" t="str">
        <f>INPUT!D41</f>
        <v>Gela</v>
      </c>
      <c r="D6" s="285"/>
    </row>
    <row r="7" spans="2:28" x14ac:dyDescent="0.2">
      <c r="B7" s="29" t="s">
        <v>60</v>
      </c>
      <c r="C7" s="286" t="str">
        <f>CONCATENATE("Block"," ",INPUT!D44," ","Lot"," ",INPUT!D45)</f>
        <v>Block 5 Lot 5</v>
      </c>
      <c r="D7" s="287"/>
      <c r="E7" s="30"/>
      <c r="F7" s="25"/>
      <c r="G7" s="25"/>
      <c r="H7" s="25"/>
      <c r="L7" s="31"/>
      <c r="M7" s="31"/>
      <c r="N7" s="31"/>
    </row>
    <row r="8" spans="2:28" x14ac:dyDescent="0.2">
      <c r="B8" s="32" t="s">
        <v>8</v>
      </c>
      <c r="C8" s="288">
        <f>INPUT!D46</f>
        <v>597</v>
      </c>
      <c r="D8" s="289"/>
      <c r="L8" s="31"/>
      <c r="M8" s="31"/>
      <c r="N8" s="31"/>
    </row>
    <row r="9" spans="2:28" x14ac:dyDescent="0.2">
      <c r="B9" s="32" t="s">
        <v>61</v>
      </c>
      <c r="C9" s="280">
        <f>INPUT!D47</f>
        <v>17314000</v>
      </c>
      <c r="D9" s="281"/>
      <c r="L9" s="31"/>
      <c r="M9" s="31"/>
      <c r="N9" s="31"/>
    </row>
    <row r="10" spans="2:28" x14ac:dyDescent="0.2">
      <c r="B10" s="278"/>
      <c r="C10" s="144" t="s">
        <v>39</v>
      </c>
      <c r="D10" s="145"/>
      <c r="L10" s="31"/>
      <c r="M10" s="31"/>
      <c r="N10" s="31"/>
    </row>
    <row r="11" spans="2:28" ht="15.75" thickBot="1" x14ac:dyDescent="0.25">
      <c r="B11" s="279"/>
      <c r="C11" s="272"/>
      <c r="D11" s="273"/>
      <c r="L11" s="31"/>
      <c r="M11" s="31"/>
      <c r="N11" s="31"/>
    </row>
    <row r="12" spans="2:28" x14ac:dyDescent="0.2">
      <c r="E12" s="33"/>
      <c r="F12" s="33"/>
      <c r="G12" s="33"/>
      <c r="H12" s="33"/>
      <c r="I12" s="33"/>
      <c r="J12" s="33"/>
      <c r="K12" s="33"/>
      <c r="L12" s="86" t="s">
        <v>150</v>
      </c>
      <c r="M12" s="87">
        <v>0.02</v>
      </c>
      <c r="N12" s="33"/>
    </row>
    <row r="13" spans="2:28" x14ac:dyDescent="0.2">
      <c r="B13" s="34" t="s">
        <v>64</v>
      </c>
      <c r="C13" s="34"/>
      <c r="E13" s="33"/>
      <c r="F13" s="33"/>
      <c r="G13" s="33"/>
      <c r="H13" s="33"/>
      <c r="I13" s="33"/>
      <c r="J13" s="33"/>
      <c r="K13" s="33"/>
      <c r="L13" s="33"/>
      <c r="M13" s="87">
        <v>0</v>
      </c>
      <c r="N13" s="33"/>
    </row>
    <row r="14" spans="2:28" x14ac:dyDescent="0.2">
      <c r="B14" s="35" t="s">
        <v>65</v>
      </c>
      <c r="C14" s="36"/>
      <c r="D14" s="37">
        <f>C9</f>
        <v>17314000</v>
      </c>
      <c r="E14" s="38" t="e">
        <f>#REF!</f>
        <v>#REF!</v>
      </c>
      <c r="F14" s="39" t="e">
        <f>D14-E14</f>
        <v>#REF!</v>
      </c>
      <c r="G14" s="33"/>
      <c r="H14" s="33"/>
      <c r="I14" s="95"/>
      <c r="J14" s="33"/>
      <c r="K14" s="33"/>
      <c r="L14" s="33"/>
      <c r="M14" s="33"/>
      <c r="N14" s="33"/>
      <c r="O14" s="33"/>
      <c r="P14" s="33"/>
      <c r="Q14" s="33"/>
      <c r="R14" s="33"/>
      <c r="S14" s="33"/>
      <c r="T14" s="31"/>
      <c r="U14" s="31"/>
      <c r="V14" s="31"/>
      <c r="W14" s="31"/>
      <c r="X14" s="31"/>
      <c r="Y14" s="31"/>
      <c r="Z14" s="31"/>
    </row>
    <row r="15" spans="2:28" x14ac:dyDescent="0.2">
      <c r="B15" s="115" t="s">
        <v>259</v>
      </c>
      <c r="C15" s="41"/>
      <c r="D15" s="42">
        <v>200000</v>
      </c>
      <c r="E15" s="43">
        <f>VLOOKUP([2]INPUT!$N$6,[2]Sheet1!$E$1:$K$65536,5,0)</f>
        <v>350000</v>
      </c>
      <c r="F15" s="39">
        <f t="shared" ref="F15:H15" si="0">D15-E15</f>
        <v>-150000</v>
      </c>
      <c r="G15" s="39">
        <f t="shared" si="0"/>
        <v>500000</v>
      </c>
      <c r="H15" s="39">
        <f t="shared" si="0"/>
        <v>-650000</v>
      </c>
      <c r="I15" s="33"/>
      <c r="J15" s="33"/>
      <c r="K15" s="95"/>
      <c r="L15" s="33"/>
      <c r="M15" s="33"/>
      <c r="N15" s="33"/>
      <c r="O15" s="33"/>
      <c r="P15" s="33"/>
      <c r="Q15" s="65"/>
      <c r="R15" s="65"/>
      <c r="S15" s="33"/>
      <c r="T15" s="33"/>
      <c r="U15" s="33"/>
      <c r="V15" s="31"/>
      <c r="W15" s="31"/>
      <c r="X15" s="31"/>
      <c r="Y15" s="31"/>
      <c r="Z15" s="31"/>
      <c r="AA15" s="31"/>
      <c r="AB15" s="31"/>
    </row>
    <row r="16" spans="2:28" hidden="1" x14ac:dyDescent="0.2">
      <c r="B16" s="115"/>
      <c r="C16" s="41"/>
      <c r="D16" s="42"/>
      <c r="E16" s="43"/>
      <c r="F16" s="39"/>
      <c r="G16" s="39"/>
      <c r="H16" s="39"/>
      <c r="I16" s="33"/>
      <c r="J16" s="33"/>
      <c r="K16" s="95"/>
      <c r="L16" s="33"/>
      <c r="M16" s="33"/>
      <c r="N16" s="33"/>
      <c r="O16" s="33"/>
      <c r="P16" s="33"/>
      <c r="Q16" s="65"/>
      <c r="R16" s="65"/>
      <c r="S16" s="33"/>
      <c r="T16" s="33"/>
      <c r="U16" s="33"/>
      <c r="V16" s="31"/>
      <c r="W16" s="31"/>
      <c r="X16" s="31"/>
      <c r="Y16" s="31"/>
      <c r="Z16" s="31"/>
      <c r="AA16" s="31"/>
      <c r="AB16" s="31"/>
    </row>
    <row r="17" spans="2:28" hidden="1" x14ac:dyDescent="0.2">
      <c r="B17" s="115"/>
      <c r="C17" s="69"/>
      <c r="D17" s="42"/>
      <c r="E17" s="38"/>
      <c r="F17" s="39"/>
      <c r="G17" s="39"/>
      <c r="H17" s="39"/>
      <c r="I17" s="33"/>
      <c r="J17" s="33"/>
      <c r="K17" s="95"/>
      <c r="L17" s="116"/>
      <c r="M17" s="117"/>
      <c r="N17" s="33"/>
      <c r="O17" s="33"/>
      <c r="P17" s="33"/>
      <c r="Q17" s="65"/>
      <c r="R17" s="65"/>
      <c r="S17" s="33"/>
      <c r="T17" s="33"/>
      <c r="U17" s="33"/>
      <c r="V17" s="31"/>
      <c r="W17" s="31"/>
      <c r="X17" s="31"/>
      <c r="Y17" s="31"/>
      <c r="Z17" s="31"/>
      <c r="AA17" s="31"/>
      <c r="AB17" s="31"/>
    </row>
    <row r="18" spans="2:28" hidden="1" x14ac:dyDescent="0.2">
      <c r="B18" s="115"/>
      <c r="C18" s="69"/>
      <c r="D18" s="42"/>
      <c r="E18" s="38"/>
      <c r="F18" s="39"/>
      <c r="G18" s="39"/>
      <c r="H18" s="39"/>
      <c r="I18" s="33"/>
      <c r="J18" s="33"/>
      <c r="K18" s="95"/>
      <c r="L18" s="33"/>
      <c r="M18" s="117"/>
      <c r="N18" s="33"/>
      <c r="O18" s="33"/>
      <c r="P18" s="33"/>
      <c r="Q18" s="65"/>
      <c r="R18" s="65"/>
      <c r="S18" s="33"/>
      <c r="T18" s="33"/>
      <c r="U18" s="33"/>
      <c r="V18" s="31"/>
      <c r="W18" s="31"/>
      <c r="X18" s="31"/>
      <c r="Y18" s="31"/>
      <c r="Z18" s="31"/>
      <c r="AA18" s="31"/>
      <c r="AB18" s="31"/>
    </row>
    <row r="19" spans="2:28" hidden="1" x14ac:dyDescent="0.2">
      <c r="B19" s="115"/>
      <c r="C19" s="69"/>
      <c r="D19" s="42"/>
      <c r="E19" s="38"/>
      <c r="F19" s="39"/>
      <c r="G19" s="39"/>
      <c r="H19" s="39"/>
      <c r="I19" s="33"/>
      <c r="J19" s="33"/>
      <c r="K19" s="95"/>
      <c r="L19" s="33"/>
      <c r="M19" s="33"/>
      <c r="N19" s="33"/>
      <c r="O19" s="33"/>
      <c r="P19" s="33"/>
      <c r="Q19" s="65"/>
      <c r="R19" s="65"/>
      <c r="S19" s="33"/>
      <c r="T19" s="33"/>
      <c r="U19" s="33"/>
      <c r="V19" s="31"/>
      <c r="W19" s="31"/>
      <c r="X19" s="31"/>
      <c r="Y19" s="31"/>
      <c r="Z19" s="31"/>
      <c r="AA19" s="31"/>
      <c r="AB19" s="31"/>
    </row>
    <row r="20" spans="2:28" x14ac:dyDescent="0.2">
      <c r="B20" s="115">
        <f>IF(INPUT!$D$42="Repeat Buyer",Classic_Mem_Inst1!$L$13,Classic_Mem_Inst1!$L$14)</f>
        <v>0</v>
      </c>
      <c r="C20" s="97">
        <f>IF(B20=Classic_Mem_Inst1!$L$13,Classic_Mem_Inst1!$M$13,Classic_Mem_Inst1!$M$14)</f>
        <v>0</v>
      </c>
      <c r="D20" s="42">
        <f>(D14-D15-D17-D18-D19-D16)*C20</f>
        <v>0</v>
      </c>
      <c r="E20" s="44"/>
      <c r="F20" s="39"/>
      <c r="G20" s="39"/>
      <c r="H20" s="39"/>
      <c r="I20" s="33"/>
      <c r="J20" s="33"/>
      <c r="K20" s="95"/>
      <c r="L20" s="33"/>
      <c r="M20" s="33"/>
      <c r="N20" s="33"/>
      <c r="O20" s="33"/>
      <c r="P20" s="33"/>
      <c r="Q20" s="33"/>
      <c r="R20" s="33"/>
      <c r="S20" s="33"/>
      <c r="T20" s="33"/>
      <c r="U20" s="33"/>
      <c r="V20" s="31"/>
      <c r="W20" s="31"/>
      <c r="X20" s="31"/>
      <c r="Y20" s="31"/>
      <c r="Z20" s="31"/>
      <c r="AA20" s="31"/>
      <c r="AB20" s="31"/>
    </row>
    <row r="21" spans="2:28" x14ac:dyDescent="0.2">
      <c r="B21" s="40" t="s">
        <v>68</v>
      </c>
      <c r="C21" s="97">
        <v>0.05</v>
      </c>
      <c r="D21" s="42">
        <f>((D14-D15-D17-D18-D19-D20-D16)/1.12)*C21</f>
        <v>764017.85714285716</v>
      </c>
      <c r="E21" s="120"/>
      <c r="F21" s="113"/>
      <c r="G21" s="113"/>
      <c r="H21" s="113"/>
      <c r="I21" s="31"/>
      <c r="J21" s="31"/>
      <c r="K21" s="31"/>
      <c r="L21" s="31"/>
      <c r="M21" s="31"/>
      <c r="N21" s="31"/>
      <c r="O21" s="31"/>
      <c r="P21" s="31"/>
      <c r="Q21" s="31"/>
      <c r="R21" s="31"/>
      <c r="S21" s="31"/>
      <c r="T21" s="31"/>
      <c r="U21" s="31"/>
      <c r="V21" s="31"/>
      <c r="W21" s="31"/>
      <c r="X21" s="31"/>
      <c r="Y21" s="31"/>
      <c r="Z21" s="31"/>
      <c r="AA21" s="31"/>
      <c r="AB21" s="31"/>
    </row>
    <row r="22" spans="2:28" ht="15.75" thickBot="1" x14ac:dyDescent="0.25">
      <c r="B22" s="45" t="s">
        <v>69</v>
      </c>
      <c r="C22" s="46"/>
      <c r="D22" s="47">
        <f>(D14-D15-D17-D18-D19-D20-D16+D21)</f>
        <v>17878017.857142858</v>
      </c>
      <c r="E22" s="38"/>
      <c r="F22" s="39"/>
      <c r="G22" s="39"/>
      <c r="H22" s="39"/>
      <c r="I22" s="33"/>
      <c r="J22" s="33"/>
      <c r="K22" s="95"/>
      <c r="L22" s="33"/>
      <c r="M22" s="33"/>
      <c r="N22" s="33"/>
      <c r="O22" s="33"/>
      <c r="P22" s="33"/>
      <c r="Q22" s="33"/>
      <c r="R22" s="33"/>
      <c r="S22" s="33"/>
      <c r="T22" s="33"/>
      <c r="U22" s="33"/>
      <c r="V22" s="31"/>
      <c r="W22" s="31"/>
      <c r="X22" s="31"/>
      <c r="Y22" s="31"/>
      <c r="Z22" s="31"/>
      <c r="AA22" s="31"/>
      <c r="AB22" s="31"/>
    </row>
    <row r="23" spans="2:28" ht="16.5" thickTop="1" thickBot="1" x14ac:dyDescent="0.25"/>
    <row r="24" spans="2:28" ht="15.75" thickBot="1" x14ac:dyDescent="0.25">
      <c r="B24" s="274" t="s">
        <v>70</v>
      </c>
      <c r="C24" s="275"/>
      <c r="D24" s="78" t="s">
        <v>71</v>
      </c>
      <c r="E24" s="78" t="s">
        <v>72</v>
      </c>
      <c r="F24" s="78" t="s">
        <v>73</v>
      </c>
      <c r="G24" s="78" t="s">
        <v>74</v>
      </c>
      <c r="H24" s="78" t="s">
        <v>75</v>
      </c>
      <c r="I24" s="79" t="s">
        <v>76</v>
      </c>
      <c r="J24" s="33"/>
      <c r="K24" s="33"/>
      <c r="L24" s="33"/>
      <c r="M24" s="33"/>
      <c r="N24" s="33"/>
    </row>
    <row r="25" spans="2:28" x14ac:dyDescent="0.2">
      <c r="B25" s="302">
        <v>0</v>
      </c>
      <c r="C25" s="303"/>
      <c r="D25" s="50">
        <f ca="1">INPUT!D48</f>
        <v>45360</v>
      </c>
      <c r="E25" s="146" t="s">
        <v>77</v>
      </c>
      <c r="F25" s="51">
        <v>50000</v>
      </c>
      <c r="G25" s="106"/>
      <c r="H25" s="106">
        <f>SUM(F25:G25)</f>
        <v>50000</v>
      </c>
      <c r="I25" s="52">
        <f>D22-H25</f>
        <v>17828017.857142858</v>
      </c>
      <c r="J25" s="53" t="s">
        <v>78</v>
      </c>
      <c r="K25" s="33"/>
      <c r="L25" s="38">
        <v>56000</v>
      </c>
      <c r="M25" s="39">
        <f>L25-F25</f>
        <v>6000</v>
      </c>
      <c r="N25" s="33"/>
    </row>
    <row r="26" spans="2:28" hidden="1" x14ac:dyDescent="0.2">
      <c r="B26" s="290"/>
      <c r="C26" s="265"/>
      <c r="D26" s="70">
        <v>44948</v>
      </c>
      <c r="E26" s="74" t="s">
        <v>79</v>
      </c>
      <c r="F26" s="75"/>
      <c r="G26" s="118"/>
      <c r="H26" s="118">
        <v>0</v>
      </c>
      <c r="I26" s="76">
        <f>I25-H26</f>
        <v>17828017.857142858</v>
      </c>
      <c r="J26" s="53"/>
      <c r="K26" s="33"/>
      <c r="L26" s="38"/>
      <c r="M26" s="39"/>
      <c r="N26" s="33"/>
    </row>
    <row r="27" spans="2:28" x14ac:dyDescent="0.2">
      <c r="B27" s="290">
        <f>B26+1</f>
        <v>1</v>
      </c>
      <c r="C27" s="265"/>
      <c r="D27" s="70">
        <f ca="1">EDATE(D25,1)</f>
        <v>45391</v>
      </c>
      <c r="E27" s="143" t="s">
        <v>91</v>
      </c>
      <c r="F27" s="71">
        <f>(((D22-D21)*100%)-F25)/60</f>
        <v>284400</v>
      </c>
      <c r="G27" s="107">
        <f>(((D21)*100%))/60</f>
        <v>12733.630952380952</v>
      </c>
      <c r="H27" s="107">
        <f>SUM(F27:G27)</f>
        <v>297133.63095238095</v>
      </c>
      <c r="I27" s="76">
        <f>I26-H27</f>
        <v>17530884.226190478</v>
      </c>
      <c r="J27" s="53"/>
      <c r="K27" s="33"/>
      <c r="L27" s="38"/>
      <c r="M27" s="39"/>
      <c r="N27" s="33"/>
    </row>
    <row r="28" spans="2:28" x14ac:dyDescent="0.2">
      <c r="B28" s="290">
        <f t="shared" ref="B28:B86" si="1">B27+1</f>
        <v>2</v>
      </c>
      <c r="C28" s="265"/>
      <c r="D28" s="70">
        <f ca="1">EDATE(D27,1)</f>
        <v>45421</v>
      </c>
      <c r="E28" s="143" t="s">
        <v>92</v>
      </c>
      <c r="F28" s="71">
        <f>F27</f>
        <v>284400</v>
      </c>
      <c r="G28" s="107">
        <f>G27</f>
        <v>12733.630952380952</v>
      </c>
      <c r="H28" s="107">
        <f>SUM(F28:G28)</f>
        <v>297133.63095238095</v>
      </c>
      <c r="I28" s="72">
        <f t="shared" ref="I28:I74" si="2">I27-H28</f>
        <v>17233750.595238097</v>
      </c>
      <c r="J28" s="53"/>
      <c r="K28" s="33"/>
      <c r="L28" s="38"/>
      <c r="M28" s="39"/>
      <c r="N28" s="33"/>
    </row>
    <row r="29" spans="2:28" x14ac:dyDescent="0.2">
      <c r="B29" s="290">
        <f t="shared" si="1"/>
        <v>3</v>
      </c>
      <c r="C29" s="265"/>
      <c r="D29" s="70">
        <f t="shared" ref="D29:D86" ca="1" si="3">EDATE(D28,1)</f>
        <v>45452</v>
      </c>
      <c r="E29" s="143" t="s">
        <v>93</v>
      </c>
      <c r="F29" s="71">
        <f>F28</f>
        <v>284400</v>
      </c>
      <c r="G29" s="107">
        <f>G28</f>
        <v>12733.630952380952</v>
      </c>
      <c r="H29" s="107">
        <f t="shared" ref="H29:H63" si="4">SUM(F29:G29)</f>
        <v>297133.63095238095</v>
      </c>
      <c r="I29" s="72">
        <f t="shared" si="2"/>
        <v>16936616.964285716</v>
      </c>
      <c r="J29" s="53"/>
      <c r="K29" s="33"/>
      <c r="L29" s="38"/>
      <c r="M29" s="39"/>
      <c r="N29" s="33"/>
    </row>
    <row r="30" spans="2:28" x14ac:dyDescent="0.2">
      <c r="B30" s="290">
        <f t="shared" si="1"/>
        <v>4</v>
      </c>
      <c r="C30" s="265"/>
      <c r="D30" s="70">
        <f t="shared" ca="1" si="3"/>
        <v>45482</v>
      </c>
      <c r="E30" s="143" t="s">
        <v>94</v>
      </c>
      <c r="F30" s="71">
        <f t="shared" ref="F30:G45" si="5">F29</f>
        <v>284400</v>
      </c>
      <c r="G30" s="107">
        <f t="shared" si="5"/>
        <v>12733.630952380952</v>
      </c>
      <c r="H30" s="107">
        <f t="shared" si="4"/>
        <v>297133.63095238095</v>
      </c>
      <c r="I30" s="72">
        <f t="shared" si="2"/>
        <v>16639483.333333336</v>
      </c>
      <c r="J30" s="53"/>
      <c r="K30" s="33"/>
      <c r="L30" s="38"/>
      <c r="M30" s="39"/>
      <c r="N30" s="33"/>
    </row>
    <row r="31" spans="2:28" x14ac:dyDescent="0.2">
      <c r="B31" s="290">
        <f t="shared" si="1"/>
        <v>5</v>
      </c>
      <c r="C31" s="265"/>
      <c r="D31" s="70">
        <f t="shared" ca="1" si="3"/>
        <v>45513</v>
      </c>
      <c r="E31" s="143" t="s">
        <v>95</v>
      </c>
      <c r="F31" s="71">
        <f t="shared" si="5"/>
        <v>284400</v>
      </c>
      <c r="G31" s="107">
        <f t="shared" si="5"/>
        <v>12733.630952380952</v>
      </c>
      <c r="H31" s="107">
        <f t="shared" si="4"/>
        <v>297133.63095238095</v>
      </c>
      <c r="I31" s="72">
        <f t="shared" si="2"/>
        <v>16342349.702380955</v>
      </c>
      <c r="J31" s="53"/>
      <c r="K31" s="33"/>
      <c r="L31" s="38"/>
      <c r="M31" s="39"/>
      <c r="N31" s="33"/>
    </row>
    <row r="32" spans="2:28" x14ac:dyDescent="0.2">
      <c r="B32" s="290">
        <f t="shared" si="1"/>
        <v>6</v>
      </c>
      <c r="C32" s="265"/>
      <c r="D32" s="70">
        <f t="shared" ca="1" si="3"/>
        <v>45544</v>
      </c>
      <c r="E32" s="143" t="s">
        <v>96</v>
      </c>
      <c r="F32" s="71">
        <f t="shared" si="5"/>
        <v>284400</v>
      </c>
      <c r="G32" s="107">
        <f t="shared" si="5"/>
        <v>12733.630952380952</v>
      </c>
      <c r="H32" s="107">
        <f t="shared" si="4"/>
        <v>297133.63095238095</v>
      </c>
      <c r="I32" s="72">
        <f t="shared" si="2"/>
        <v>16045216.071428575</v>
      </c>
      <c r="J32" s="53"/>
      <c r="K32" s="33"/>
      <c r="L32" s="38"/>
      <c r="M32" s="39"/>
      <c r="N32" s="33"/>
    </row>
    <row r="33" spans="2:14" x14ac:dyDescent="0.2">
      <c r="B33" s="290">
        <f t="shared" si="1"/>
        <v>7</v>
      </c>
      <c r="C33" s="265"/>
      <c r="D33" s="70">
        <f t="shared" ca="1" si="3"/>
        <v>45574</v>
      </c>
      <c r="E33" s="143" t="s">
        <v>97</v>
      </c>
      <c r="F33" s="71">
        <f t="shared" si="5"/>
        <v>284400</v>
      </c>
      <c r="G33" s="107">
        <f t="shared" si="5"/>
        <v>12733.630952380952</v>
      </c>
      <c r="H33" s="107">
        <f t="shared" si="4"/>
        <v>297133.63095238095</v>
      </c>
      <c r="I33" s="72">
        <f t="shared" si="2"/>
        <v>15748082.440476194</v>
      </c>
      <c r="J33" s="53"/>
      <c r="K33" s="33"/>
      <c r="L33" s="38"/>
      <c r="M33" s="39"/>
      <c r="N33" s="33"/>
    </row>
    <row r="34" spans="2:14" x14ac:dyDescent="0.2">
      <c r="B34" s="290">
        <f t="shared" si="1"/>
        <v>8</v>
      </c>
      <c r="C34" s="265"/>
      <c r="D34" s="70">
        <f t="shared" ca="1" si="3"/>
        <v>45605</v>
      </c>
      <c r="E34" s="143" t="s">
        <v>98</v>
      </c>
      <c r="F34" s="71">
        <f t="shared" si="5"/>
        <v>284400</v>
      </c>
      <c r="G34" s="107">
        <f t="shared" si="5"/>
        <v>12733.630952380952</v>
      </c>
      <c r="H34" s="107">
        <f t="shared" si="4"/>
        <v>297133.63095238095</v>
      </c>
      <c r="I34" s="72">
        <f t="shared" si="2"/>
        <v>15450948.809523813</v>
      </c>
      <c r="J34" s="53"/>
      <c r="K34" s="33"/>
      <c r="L34" s="38"/>
      <c r="M34" s="39"/>
      <c r="N34" s="33"/>
    </row>
    <row r="35" spans="2:14" x14ac:dyDescent="0.2">
      <c r="B35" s="290">
        <f t="shared" si="1"/>
        <v>9</v>
      </c>
      <c r="C35" s="265"/>
      <c r="D35" s="70">
        <f t="shared" ca="1" si="3"/>
        <v>45635</v>
      </c>
      <c r="E35" s="143" t="s">
        <v>99</v>
      </c>
      <c r="F35" s="71">
        <f t="shared" si="5"/>
        <v>284400</v>
      </c>
      <c r="G35" s="107">
        <f t="shared" si="5"/>
        <v>12733.630952380952</v>
      </c>
      <c r="H35" s="107">
        <f t="shared" si="4"/>
        <v>297133.63095238095</v>
      </c>
      <c r="I35" s="72">
        <f t="shared" si="2"/>
        <v>15153815.178571433</v>
      </c>
      <c r="J35" s="53"/>
      <c r="K35" s="33"/>
      <c r="L35" s="38"/>
      <c r="M35" s="39"/>
      <c r="N35" s="33"/>
    </row>
    <row r="36" spans="2:14" x14ac:dyDescent="0.2">
      <c r="B36" s="290">
        <f t="shared" si="1"/>
        <v>10</v>
      </c>
      <c r="C36" s="265"/>
      <c r="D36" s="70">
        <f t="shared" ca="1" si="3"/>
        <v>45666</v>
      </c>
      <c r="E36" s="143" t="s">
        <v>100</v>
      </c>
      <c r="F36" s="71">
        <f t="shared" si="5"/>
        <v>284400</v>
      </c>
      <c r="G36" s="107">
        <f t="shared" si="5"/>
        <v>12733.630952380952</v>
      </c>
      <c r="H36" s="107">
        <f t="shared" si="4"/>
        <v>297133.63095238095</v>
      </c>
      <c r="I36" s="72">
        <f t="shared" si="2"/>
        <v>14856681.547619052</v>
      </c>
      <c r="J36" s="53"/>
      <c r="K36" s="33"/>
      <c r="L36" s="38"/>
      <c r="M36" s="39"/>
      <c r="N36" s="33"/>
    </row>
    <row r="37" spans="2:14" x14ac:dyDescent="0.2">
      <c r="B37" s="290">
        <f t="shared" si="1"/>
        <v>11</v>
      </c>
      <c r="C37" s="265"/>
      <c r="D37" s="70">
        <f t="shared" ca="1" si="3"/>
        <v>45697</v>
      </c>
      <c r="E37" s="143" t="s">
        <v>101</v>
      </c>
      <c r="F37" s="71">
        <f t="shared" si="5"/>
        <v>284400</v>
      </c>
      <c r="G37" s="107">
        <f t="shared" si="5"/>
        <v>12733.630952380952</v>
      </c>
      <c r="H37" s="107">
        <f t="shared" si="4"/>
        <v>297133.63095238095</v>
      </c>
      <c r="I37" s="72">
        <f t="shared" si="2"/>
        <v>14559547.916666672</v>
      </c>
      <c r="J37" s="53"/>
      <c r="K37" s="33"/>
      <c r="L37" s="38"/>
      <c r="M37" s="39"/>
      <c r="N37" s="33"/>
    </row>
    <row r="38" spans="2:14" x14ac:dyDescent="0.2">
      <c r="B38" s="290">
        <f t="shared" si="1"/>
        <v>12</v>
      </c>
      <c r="C38" s="265"/>
      <c r="D38" s="70">
        <f t="shared" ca="1" si="3"/>
        <v>45725</v>
      </c>
      <c r="E38" s="143" t="s">
        <v>102</v>
      </c>
      <c r="F38" s="71">
        <f t="shared" si="5"/>
        <v>284400</v>
      </c>
      <c r="G38" s="107">
        <f t="shared" si="5"/>
        <v>12733.630952380952</v>
      </c>
      <c r="H38" s="107">
        <f t="shared" si="4"/>
        <v>297133.63095238095</v>
      </c>
      <c r="I38" s="72">
        <f t="shared" si="2"/>
        <v>14262414.285714291</v>
      </c>
      <c r="J38" s="53"/>
      <c r="K38" s="33"/>
      <c r="L38" s="38"/>
      <c r="M38" s="39"/>
      <c r="N38" s="33"/>
    </row>
    <row r="39" spans="2:14" x14ac:dyDescent="0.2">
      <c r="B39" s="290">
        <f t="shared" si="1"/>
        <v>13</v>
      </c>
      <c r="C39" s="265"/>
      <c r="D39" s="70">
        <f t="shared" ca="1" si="3"/>
        <v>45756</v>
      </c>
      <c r="E39" s="143" t="s">
        <v>103</v>
      </c>
      <c r="F39" s="71">
        <f t="shared" si="5"/>
        <v>284400</v>
      </c>
      <c r="G39" s="107">
        <f t="shared" si="5"/>
        <v>12733.630952380952</v>
      </c>
      <c r="H39" s="107">
        <f t="shared" si="4"/>
        <v>297133.63095238095</v>
      </c>
      <c r="I39" s="72">
        <f t="shared" si="2"/>
        <v>13965280.65476191</v>
      </c>
      <c r="J39" s="53"/>
      <c r="K39" s="33"/>
      <c r="L39" s="38"/>
      <c r="M39" s="39"/>
      <c r="N39" s="33"/>
    </row>
    <row r="40" spans="2:14" x14ac:dyDescent="0.2">
      <c r="B40" s="290">
        <f t="shared" si="1"/>
        <v>14</v>
      </c>
      <c r="C40" s="265"/>
      <c r="D40" s="70">
        <f t="shared" ca="1" si="3"/>
        <v>45786</v>
      </c>
      <c r="E40" s="143" t="s">
        <v>104</v>
      </c>
      <c r="F40" s="71">
        <f t="shared" si="5"/>
        <v>284400</v>
      </c>
      <c r="G40" s="107">
        <f t="shared" si="5"/>
        <v>12733.630952380952</v>
      </c>
      <c r="H40" s="107">
        <f t="shared" si="4"/>
        <v>297133.63095238095</v>
      </c>
      <c r="I40" s="72">
        <f t="shared" si="2"/>
        <v>13668147.02380953</v>
      </c>
      <c r="J40" s="53"/>
      <c r="K40" s="33"/>
      <c r="L40" s="38"/>
      <c r="M40" s="39"/>
      <c r="N40" s="33"/>
    </row>
    <row r="41" spans="2:14" x14ac:dyDescent="0.2">
      <c r="B41" s="290">
        <f t="shared" si="1"/>
        <v>15</v>
      </c>
      <c r="C41" s="265"/>
      <c r="D41" s="70">
        <f t="shared" ca="1" si="3"/>
        <v>45817</v>
      </c>
      <c r="E41" s="143" t="s">
        <v>105</v>
      </c>
      <c r="F41" s="71">
        <f t="shared" si="5"/>
        <v>284400</v>
      </c>
      <c r="G41" s="107">
        <f t="shared" si="5"/>
        <v>12733.630952380952</v>
      </c>
      <c r="H41" s="107">
        <f t="shared" si="4"/>
        <v>297133.63095238095</v>
      </c>
      <c r="I41" s="72">
        <f t="shared" si="2"/>
        <v>13371013.392857149</v>
      </c>
      <c r="J41" s="53"/>
      <c r="K41" s="33"/>
      <c r="L41" s="38"/>
      <c r="M41" s="39"/>
      <c r="N41" s="33"/>
    </row>
    <row r="42" spans="2:14" x14ac:dyDescent="0.2">
      <c r="B42" s="290">
        <f t="shared" si="1"/>
        <v>16</v>
      </c>
      <c r="C42" s="265"/>
      <c r="D42" s="70">
        <f t="shared" ca="1" si="3"/>
        <v>45847</v>
      </c>
      <c r="E42" s="143" t="s">
        <v>106</v>
      </c>
      <c r="F42" s="71">
        <f t="shared" si="5"/>
        <v>284400</v>
      </c>
      <c r="G42" s="107">
        <f t="shared" si="5"/>
        <v>12733.630952380952</v>
      </c>
      <c r="H42" s="107">
        <f t="shared" si="4"/>
        <v>297133.63095238095</v>
      </c>
      <c r="I42" s="72">
        <f t="shared" si="2"/>
        <v>13073879.761904769</v>
      </c>
      <c r="J42" s="53"/>
      <c r="K42" s="33"/>
      <c r="L42" s="38"/>
      <c r="M42" s="39"/>
      <c r="N42" s="33"/>
    </row>
    <row r="43" spans="2:14" x14ac:dyDescent="0.2">
      <c r="B43" s="290">
        <f t="shared" si="1"/>
        <v>17</v>
      </c>
      <c r="C43" s="265"/>
      <c r="D43" s="70">
        <f t="shared" ca="1" si="3"/>
        <v>45878</v>
      </c>
      <c r="E43" s="143" t="s">
        <v>107</v>
      </c>
      <c r="F43" s="71">
        <f t="shared" si="5"/>
        <v>284400</v>
      </c>
      <c r="G43" s="107">
        <f t="shared" si="5"/>
        <v>12733.630952380952</v>
      </c>
      <c r="H43" s="107">
        <f t="shared" si="4"/>
        <v>297133.63095238095</v>
      </c>
      <c r="I43" s="72">
        <f t="shared" si="2"/>
        <v>12776746.130952388</v>
      </c>
      <c r="J43" s="53"/>
      <c r="K43" s="33"/>
      <c r="L43" s="38"/>
      <c r="M43" s="39"/>
      <c r="N43" s="33"/>
    </row>
    <row r="44" spans="2:14" x14ac:dyDescent="0.2">
      <c r="B44" s="290">
        <f t="shared" si="1"/>
        <v>18</v>
      </c>
      <c r="C44" s="265"/>
      <c r="D44" s="70">
        <f t="shared" ca="1" si="3"/>
        <v>45909</v>
      </c>
      <c r="E44" s="143" t="s">
        <v>108</v>
      </c>
      <c r="F44" s="71">
        <f t="shared" si="5"/>
        <v>284400</v>
      </c>
      <c r="G44" s="107">
        <f t="shared" si="5"/>
        <v>12733.630952380952</v>
      </c>
      <c r="H44" s="107">
        <f t="shared" si="4"/>
        <v>297133.63095238095</v>
      </c>
      <c r="I44" s="72">
        <f t="shared" si="2"/>
        <v>12479612.500000007</v>
      </c>
      <c r="J44" s="53"/>
      <c r="K44" s="33"/>
      <c r="L44" s="38"/>
      <c r="M44" s="39"/>
      <c r="N44" s="33"/>
    </row>
    <row r="45" spans="2:14" x14ac:dyDescent="0.2">
      <c r="B45" s="290">
        <f t="shared" si="1"/>
        <v>19</v>
      </c>
      <c r="C45" s="265"/>
      <c r="D45" s="70">
        <f t="shared" ca="1" si="3"/>
        <v>45939</v>
      </c>
      <c r="E45" s="143" t="s">
        <v>109</v>
      </c>
      <c r="F45" s="71">
        <f t="shared" si="5"/>
        <v>284400</v>
      </c>
      <c r="G45" s="107">
        <f t="shared" si="5"/>
        <v>12733.630952380952</v>
      </c>
      <c r="H45" s="107">
        <f t="shared" si="4"/>
        <v>297133.63095238095</v>
      </c>
      <c r="I45" s="72">
        <f t="shared" si="2"/>
        <v>12182478.869047627</v>
      </c>
      <c r="J45" s="53"/>
      <c r="K45" s="33"/>
      <c r="L45" s="38"/>
      <c r="M45" s="39"/>
      <c r="N45" s="33"/>
    </row>
    <row r="46" spans="2:14" x14ac:dyDescent="0.2">
      <c r="B46" s="290">
        <f t="shared" si="1"/>
        <v>20</v>
      </c>
      <c r="C46" s="265"/>
      <c r="D46" s="70">
        <f t="shared" ca="1" si="3"/>
        <v>45970</v>
      </c>
      <c r="E46" s="143" t="s">
        <v>110</v>
      </c>
      <c r="F46" s="71">
        <f t="shared" ref="F46:G61" si="6">F45</f>
        <v>284400</v>
      </c>
      <c r="G46" s="107">
        <f t="shared" si="6"/>
        <v>12733.630952380952</v>
      </c>
      <c r="H46" s="107">
        <f t="shared" si="4"/>
        <v>297133.63095238095</v>
      </c>
      <c r="I46" s="72">
        <f t="shared" si="2"/>
        <v>11885345.238095246</v>
      </c>
      <c r="J46" s="53"/>
      <c r="K46" s="33"/>
      <c r="L46" s="38"/>
      <c r="M46" s="39"/>
      <c r="N46" s="33"/>
    </row>
    <row r="47" spans="2:14" x14ac:dyDescent="0.2">
      <c r="B47" s="290">
        <f t="shared" si="1"/>
        <v>21</v>
      </c>
      <c r="C47" s="265"/>
      <c r="D47" s="70">
        <f t="shared" ca="1" si="3"/>
        <v>46000</v>
      </c>
      <c r="E47" s="143" t="s">
        <v>111</v>
      </c>
      <c r="F47" s="71">
        <f t="shared" si="6"/>
        <v>284400</v>
      </c>
      <c r="G47" s="107">
        <f t="shared" si="6"/>
        <v>12733.630952380952</v>
      </c>
      <c r="H47" s="107">
        <f t="shared" si="4"/>
        <v>297133.63095238095</v>
      </c>
      <c r="I47" s="72">
        <f t="shared" si="2"/>
        <v>11588211.607142866</v>
      </c>
      <c r="J47" s="53"/>
      <c r="K47" s="33"/>
      <c r="L47" s="38"/>
      <c r="M47" s="39"/>
      <c r="N47" s="33"/>
    </row>
    <row r="48" spans="2:14" x14ac:dyDescent="0.2">
      <c r="B48" s="290">
        <f t="shared" si="1"/>
        <v>22</v>
      </c>
      <c r="C48" s="265"/>
      <c r="D48" s="70">
        <f t="shared" ca="1" si="3"/>
        <v>46031</v>
      </c>
      <c r="E48" s="143" t="s">
        <v>112</v>
      </c>
      <c r="F48" s="71">
        <f t="shared" si="6"/>
        <v>284400</v>
      </c>
      <c r="G48" s="107">
        <f t="shared" si="6"/>
        <v>12733.630952380952</v>
      </c>
      <c r="H48" s="107">
        <f t="shared" si="4"/>
        <v>297133.63095238095</v>
      </c>
      <c r="I48" s="72">
        <f t="shared" si="2"/>
        <v>11291077.976190485</v>
      </c>
      <c r="J48" s="53"/>
      <c r="K48" s="33"/>
      <c r="L48" s="38"/>
      <c r="M48" s="39"/>
      <c r="N48" s="33"/>
    </row>
    <row r="49" spans="2:14" x14ac:dyDescent="0.2">
      <c r="B49" s="290">
        <f t="shared" si="1"/>
        <v>23</v>
      </c>
      <c r="C49" s="265"/>
      <c r="D49" s="70">
        <f t="shared" ca="1" si="3"/>
        <v>46062</v>
      </c>
      <c r="E49" s="143" t="s">
        <v>113</v>
      </c>
      <c r="F49" s="71">
        <f t="shared" si="6"/>
        <v>284400</v>
      </c>
      <c r="G49" s="107">
        <f t="shared" si="6"/>
        <v>12733.630952380952</v>
      </c>
      <c r="H49" s="107">
        <f t="shared" si="4"/>
        <v>297133.63095238095</v>
      </c>
      <c r="I49" s="72">
        <f t="shared" si="2"/>
        <v>10993944.345238104</v>
      </c>
      <c r="J49" s="53"/>
      <c r="K49" s="33"/>
      <c r="L49" s="38"/>
      <c r="M49" s="39"/>
      <c r="N49" s="33"/>
    </row>
    <row r="50" spans="2:14" x14ac:dyDescent="0.2">
      <c r="B50" s="290">
        <f t="shared" si="1"/>
        <v>24</v>
      </c>
      <c r="C50" s="265"/>
      <c r="D50" s="70">
        <f t="shared" ca="1" si="3"/>
        <v>46090</v>
      </c>
      <c r="E50" s="143" t="s">
        <v>114</v>
      </c>
      <c r="F50" s="71">
        <f t="shared" si="6"/>
        <v>284400</v>
      </c>
      <c r="G50" s="107">
        <f t="shared" si="6"/>
        <v>12733.630952380952</v>
      </c>
      <c r="H50" s="107">
        <f t="shared" si="4"/>
        <v>297133.63095238095</v>
      </c>
      <c r="I50" s="72">
        <f t="shared" si="2"/>
        <v>10696810.714285724</v>
      </c>
      <c r="J50" s="53"/>
      <c r="K50" s="33"/>
      <c r="L50" s="38"/>
      <c r="M50" s="39"/>
      <c r="N50" s="33"/>
    </row>
    <row r="51" spans="2:14" x14ac:dyDescent="0.2">
      <c r="B51" s="290">
        <f t="shared" si="1"/>
        <v>25</v>
      </c>
      <c r="C51" s="265"/>
      <c r="D51" s="70">
        <f t="shared" ca="1" si="3"/>
        <v>46121</v>
      </c>
      <c r="E51" s="143" t="s">
        <v>119</v>
      </c>
      <c r="F51" s="71">
        <f t="shared" si="6"/>
        <v>284400</v>
      </c>
      <c r="G51" s="107">
        <f t="shared" si="6"/>
        <v>12733.630952380952</v>
      </c>
      <c r="H51" s="107">
        <f t="shared" si="4"/>
        <v>297133.63095238095</v>
      </c>
      <c r="I51" s="72">
        <f t="shared" si="2"/>
        <v>10399677.083333343</v>
      </c>
      <c r="J51" s="53"/>
      <c r="K51" s="33"/>
      <c r="L51" s="38"/>
      <c r="M51" s="39"/>
      <c r="N51" s="33"/>
    </row>
    <row r="52" spans="2:14" x14ac:dyDescent="0.2">
      <c r="B52" s="290">
        <f t="shared" si="1"/>
        <v>26</v>
      </c>
      <c r="C52" s="265"/>
      <c r="D52" s="70">
        <f t="shared" ca="1" si="3"/>
        <v>46151</v>
      </c>
      <c r="E52" s="143" t="s">
        <v>120</v>
      </c>
      <c r="F52" s="71">
        <f t="shared" si="6"/>
        <v>284400</v>
      </c>
      <c r="G52" s="107">
        <f t="shared" si="6"/>
        <v>12733.630952380952</v>
      </c>
      <c r="H52" s="107">
        <f t="shared" si="4"/>
        <v>297133.63095238095</v>
      </c>
      <c r="I52" s="72">
        <f t="shared" si="2"/>
        <v>10102543.452380963</v>
      </c>
      <c r="J52" s="53"/>
      <c r="K52" s="33"/>
      <c r="L52" s="38"/>
      <c r="M52" s="39"/>
      <c r="N52" s="33"/>
    </row>
    <row r="53" spans="2:14" x14ac:dyDescent="0.2">
      <c r="B53" s="290">
        <f t="shared" si="1"/>
        <v>27</v>
      </c>
      <c r="C53" s="265"/>
      <c r="D53" s="70">
        <f t="shared" ca="1" si="3"/>
        <v>46182</v>
      </c>
      <c r="E53" s="143" t="s">
        <v>121</v>
      </c>
      <c r="F53" s="71">
        <f t="shared" si="6"/>
        <v>284400</v>
      </c>
      <c r="G53" s="107">
        <f t="shared" si="6"/>
        <v>12733.630952380952</v>
      </c>
      <c r="H53" s="107">
        <f t="shared" si="4"/>
        <v>297133.63095238095</v>
      </c>
      <c r="I53" s="72">
        <f t="shared" si="2"/>
        <v>9805409.8214285821</v>
      </c>
      <c r="J53" s="53"/>
      <c r="K53" s="33"/>
      <c r="L53" s="38"/>
      <c r="M53" s="39"/>
      <c r="N53" s="33"/>
    </row>
    <row r="54" spans="2:14" x14ac:dyDescent="0.2">
      <c r="B54" s="290">
        <f t="shared" si="1"/>
        <v>28</v>
      </c>
      <c r="C54" s="265"/>
      <c r="D54" s="70">
        <f t="shared" ca="1" si="3"/>
        <v>46212</v>
      </c>
      <c r="E54" s="143" t="s">
        <v>122</v>
      </c>
      <c r="F54" s="71">
        <f t="shared" si="6"/>
        <v>284400</v>
      </c>
      <c r="G54" s="107">
        <f t="shared" si="6"/>
        <v>12733.630952380952</v>
      </c>
      <c r="H54" s="107">
        <f t="shared" si="4"/>
        <v>297133.63095238095</v>
      </c>
      <c r="I54" s="72">
        <f t="shared" si="2"/>
        <v>9508276.1904762015</v>
      </c>
      <c r="J54" s="53"/>
      <c r="K54" s="33"/>
      <c r="L54" s="38"/>
      <c r="M54" s="39"/>
      <c r="N54" s="33"/>
    </row>
    <row r="55" spans="2:14" x14ac:dyDescent="0.2">
      <c r="B55" s="290">
        <f t="shared" si="1"/>
        <v>29</v>
      </c>
      <c r="C55" s="265"/>
      <c r="D55" s="70">
        <f t="shared" ca="1" si="3"/>
        <v>46243</v>
      </c>
      <c r="E55" s="143" t="s">
        <v>123</v>
      </c>
      <c r="F55" s="71">
        <f t="shared" si="6"/>
        <v>284400</v>
      </c>
      <c r="G55" s="107">
        <f t="shared" si="6"/>
        <v>12733.630952380952</v>
      </c>
      <c r="H55" s="107">
        <f t="shared" si="4"/>
        <v>297133.63095238095</v>
      </c>
      <c r="I55" s="72">
        <f t="shared" si="2"/>
        <v>9211142.5595238209</v>
      </c>
      <c r="J55" s="53"/>
      <c r="K55" s="33"/>
      <c r="L55" s="38"/>
      <c r="M55" s="39"/>
      <c r="N55" s="33"/>
    </row>
    <row r="56" spans="2:14" x14ac:dyDescent="0.2">
      <c r="B56" s="290">
        <f t="shared" si="1"/>
        <v>30</v>
      </c>
      <c r="C56" s="265"/>
      <c r="D56" s="70">
        <f t="shared" ca="1" si="3"/>
        <v>46274</v>
      </c>
      <c r="E56" s="143" t="s">
        <v>124</v>
      </c>
      <c r="F56" s="71">
        <f t="shared" si="6"/>
        <v>284400</v>
      </c>
      <c r="G56" s="107">
        <f t="shared" si="6"/>
        <v>12733.630952380952</v>
      </c>
      <c r="H56" s="107">
        <f t="shared" si="4"/>
        <v>297133.63095238095</v>
      </c>
      <c r="I56" s="72">
        <f t="shared" si="2"/>
        <v>8914008.9285714403</v>
      </c>
      <c r="J56" s="53"/>
      <c r="K56" s="33"/>
      <c r="L56" s="38"/>
      <c r="M56" s="39"/>
      <c r="N56" s="33"/>
    </row>
    <row r="57" spans="2:14" x14ac:dyDescent="0.2">
      <c r="B57" s="290">
        <f t="shared" si="1"/>
        <v>31</v>
      </c>
      <c r="C57" s="265"/>
      <c r="D57" s="70">
        <f t="shared" ca="1" si="3"/>
        <v>46304</v>
      </c>
      <c r="E57" s="143" t="s">
        <v>125</v>
      </c>
      <c r="F57" s="71">
        <f t="shared" si="6"/>
        <v>284400</v>
      </c>
      <c r="G57" s="107">
        <f t="shared" si="6"/>
        <v>12733.630952380952</v>
      </c>
      <c r="H57" s="107">
        <f t="shared" si="4"/>
        <v>297133.63095238095</v>
      </c>
      <c r="I57" s="72">
        <f t="shared" si="2"/>
        <v>8616875.2976190597</v>
      </c>
      <c r="J57" s="53"/>
      <c r="K57" s="33"/>
      <c r="L57" s="38"/>
      <c r="M57" s="39"/>
      <c r="N57" s="33"/>
    </row>
    <row r="58" spans="2:14" x14ac:dyDescent="0.2">
      <c r="B58" s="290">
        <f t="shared" si="1"/>
        <v>32</v>
      </c>
      <c r="C58" s="265"/>
      <c r="D58" s="70">
        <f t="shared" ca="1" si="3"/>
        <v>46335</v>
      </c>
      <c r="E58" s="143" t="s">
        <v>126</v>
      </c>
      <c r="F58" s="71">
        <f t="shared" si="6"/>
        <v>284400</v>
      </c>
      <c r="G58" s="107">
        <f t="shared" si="6"/>
        <v>12733.630952380952</v>
      </c>
      <c r="H58" s="107">
        <f t="shared" si="4"/>
        <v>297133.63095238095</v>
      </c>
      <c r="I58" s="72">
        <f t="shared" si="2"/>
        <v>8319741.6666666791</v>
      </c>
      <c r="J58" s="53"/>
      <c r="K58" s="33"/>
      <c r="L58" s="38"/>
      <c r="M58" s="39"/>
      <c r="N58" s="33"/>
    </row>
    <row r="59" spans="2:14" x14ac:dyDescent="0.2">
      <c r="B59" s="290">
        <f t="shared" si="1"/>
        <v>33</v>
      </c>
      <c r="C59" s="265"/>
      <c r="D59" s="70">
        <f t="shared" ca="1" si="3"/>
        <v>46365</v>
      </c>
      <c r="E59" s="143" t="s">
        <v>127</v>
      </c>
      <c r="F59" s="71">
        <f t="shared" si="6"/>
        <v>284400</v>
      </c>
      <c r="G59" s="107">
        <f t="shared" si="6"/>
        <v>12733.630952380952</v>
      </c>
      <c r="H59" s="107">
        <f t="shared" si="4"/>
        <v>297133.63095238095</v>
      </c>
      <c r="I59" s="72">
        <f t="shared" si="2"/>
        <v>8022608.0357142985</v>
      </c>
      <c r="J59" s="53"/>
      <c r="K59" s="33"/>
      <c r="L59" s="38"/>
      <c r="M59" s="39"/>
      <c r="N59" s="33"/>
    </row>
    <row r="60" spans="2:14" x14ac:dyDescent="0.2">
      <c r="B60" s="290">
        <f t="shared" si="1"/>
        <v>34</v>
      </c>
      <c r="C60" s="265"/>
      <c r="D60" s="70">
        <f t="shared" ca="1" si="3"/>
        <v>46396</v>
      </c>
      <c r="E60" s="143" t="s">
        <v>128</v>
      </c>
      <c r="F60" s="71">
        <f t="shared" si="6"/>
        <v>284400</v>
      </c>
      <c r="G60" s="107">
        <f t="shared" si="6"/>
        <v>12733.630952380952</v>
      </c>
      <c r="H60" s="107">
        <f t="shared" si="4"/>
        <v>297133.63095238095</v>
      </c>
      <c r="I60" s="72">
        <f t="shared" si="2"/>
        <v>7725474.4047619179</v>
      </c>
      <c r="J60" s="53"/>
      <c r="K60" s="33"/>
      <c r="L60" s="38"/>
      <c r="M60" s="39"/>
      <c r="N60" s="33"/>
    </row>
    <row r="61" spans="2:14" x14ac:dyDescent="0.2">
      <c r="B61" s="290">
        <f t="shared" si="1"/>
        <v>35</v>
      </c>
      <c r="C61" s="265"/>
      <c r="D61" s="70">
        <f t="shared" ca="1" si="3"/>
        <v>46427</v>
      </c>
      <c r="E61" s="143" t="s">
        <v>129</v>
      </c>
      <c r="F61" s="71">
        <f t="shared" si="6"/>
        <v>284400</v>
      </c>
      <c r="G61" s="107">
        <f t="shared" si="6"/>
        <v>12733.630952380952</v>
      </c>
      <c r="H61" s="107">
        <f t="shared" si="4"/>
        <v>297133.63095238095</v>
      </c>
      <c r="I61" s="72">
        <f t="shared" si="2"/>
        <v>7428340.7738095373</v>
      </c>
      <c r="J61" s="53"/>
      <c r="K61" s="33"/>
      <c r="L61" s="38"/>
      <c r="M61" s="39"/>
      <c r="N61" s="33"/>
    </row>
    <row r="62" spans="2:14" x14ac:dyDescent="0.2">
      <c r="B62" s="290">
        <f t="shared" si="1"/>
        <v>36</v>
      </c>
      <c r="C62" s="265"/>
      <c r="D62" s="70">
        <f t="shared" ca="1" si="3"/>
        <v>46455</v>
      </c>
      <c r="E62" s="143" t="s">
        <v>130</v>
      </c>
      <c r="F62" s="71">
        <f t="shared" ref="F62:G63" si="7">F61</f>
        <v>284400</v>
      </c>
      <c r="G62" s="107">
        <f t="shared" si="7"/>
        <v>12733.630952380952</v>
      </c>
      <c r="H62" s="107">
        <f t="shared" si="4"/>
        <v>297133.63095238095</v>
      </c>
      <c r="I62" s="72">
        <f t="shared" si="2"/>
        <v>7131207.1428571567</v>
      </c>
      <c r="J62" s="53"/>
      <c r="K62" s="33"/>
      <c r="L62" s="38"/>
      <c r="M62" s="39"/>
      <c r="N62" s="33"/>
    </row>
    <row r="63" spans="2:14" x14ac:dyDescent="0.2">
      <c r="B63" s="290">
        <f t="shared" si="1"/>
        <v>37</v>
      </c>
      <c r="C63" s="265"/>
      <c r="D63" s="70">
        <f t="shared" ca="1" si="3"/>
        <v>46486</v>
      </c>
      <c r="E63" s="143" t="s">
        <v>131</v>
      </c>
      <c r="F63" s="71">
        <f t="shared" si="7"/>
        <v>284400</v>
      </c>
      <c r="G63" s="107">
        <f t="shared" si="7"/>
        <v>12733.630952380952</v>
      </c>
      <c r="H63" s="107">
        <f t="shared" si="4"/>
        <v>297133.63095238095</v>
      </c>
      <c r="I63" s="72">
        <f t="shared" si="2"/>
        <v>6834073.5119047761</v>
      </c>
      <c r="J63" s="53"/>
      <c r="K63" s="33"/>
      <c r="L63" s="38"/>
      <c r="M63" s="39"/>
      <c r="N63" s="33"/>
    </row>
    <row r="64" spans="2:14" x14ac:dyDescent="0.2">
      <c r="B64" s="290">
        <f t="shared" si="1"/>
        <v>38</v>
      </c>
      <c r="C64" s="265"/>
      <c r="D64" s="70">
        <f t="shared" ca="1" si="3"/>
        <v>46516</v>
      </c>
      <c r="E64" s="143" t="s">
        <v>132</v>
      </c>
      <c r="F64" s="71">
        <f t="shared" ref="F64:G64" si="8">F63</f>
        <v>284400</v>
      </c>
      <c r="G64" s="107">
        <f t="shared" si="8"/>
        <v>12733.630952380952</v>
      </c>
      <c r="H64" s="108">
        <f>SUM(F64:G64)</f>
        <v>297133.63095238095</v>
      </c>
      <c r="I64" s="72">
        <f t="shared" si="2"/>
        <v>6536939.8809523955</v>
      </c>
      <c r="J64" s="53"/>
      <c r="K64" s="33"/>
      <c r="L64" s="38"/>
      <c r="M64" s="39"/>
      <c r="N64" s="33"/>
    </row>
    <row r="65" spans="2:14" x14ac:dyDescent="0.2">
      <c r="B65" s="290">
        <f t="shared" si="1"/>
        <v>39</v>
      </c>
      <c r="C65" s="265"/>
      <c r="D65" s="70">
        <f t="shared" ca="1" si="3"/>
        <v>46547</v>
      </c>
      <c r="E65" s="143" t="s">
        <v>133</v>
      </c>
      <c r="F65" s="71">
        <f t="shared" ref="F65:G65" si="9">F64</f>
        <v>284400</v>
      </c>
      <c r="G65" s="107">
        <f t="shared" si="9"/>
        <v>12733.630952380952</v>
      </c>
      <c r="H65" s="108">
        <f t="shared" ref="H65:H74" si="10">SUM(F65:G65)</f>
        <v>297133.63095238095</v>
      </c>
      <c r="I65" s="72">
        <f t="shared" si="2"/>
        <v>6239806.2500000149</v>
      </c>
      <c r="J65" s="53"/>
      <c r="K65" s="33"/>
      <c r="L65" s="38"/>
      <c r="M65" s="39"/>
      <c r="N65" s="33"/>
    </row>
    <row r="66" spans="2:14" x14ac:dyDescent="0.2">
      <c r="B66" s="290">
        <f t="shared" si="1"/>
        <v>40</v>
      </c>
      <c r="C66" s="265"/>
      <c r="D66" s="70">
        <f t="shared" ca="1" si="3"/>
        <v>46577</v>
      </c>
      <c r="E66" s="143" t="s">
        <v>134</v>
      </c>
      <c r="F66" s="71">
        <f t="shared" ref="F66:G66" si="11">F65</f>
        <v>284400</v>
      </c>
      <c r="G66" s="107">
        <f t="shared" si="11"/>
        <v>12733.630952380952</v>
      </c>
      <c r="H66" s="108">
        <f t="shared" si="10"/>
        <v>297133.63095238095</v>
      </c>
      <c r="I66" s="72">
        <f t="shared" si="2"/>
        <v>5942672.6190476343</v>
      </c>
      <c r="J66" s="53"/>
      <c r="K66" s="33"/>
      <c r="L66" s="38"/>
      <c r="M66" s="39"/>
      <c r="N66" s="33"/>
    </row>
    <row r="67" spans="2:14" x14ac:dyDescent="0.2">
      <c r="B67" s="290">
        <f t="shared" si="1"/>
        <v>41</v>
      </c>
      <c r="C67" s="265"/>
      <c r="D67" s="70">
        <f t="shared" ca="1" si="3"/>
        <v>46608</v>
      </c>
      <c r="E67" s="143" t="s">
        <v>135</v>
      </c>
      <c r="F67" s="71">
        <f t="shared" ref="F67:G67" si="12">F66</f>
        <v>284400</v>
      </c>
      <c r="G67" s="107">
        <f t="shared" si="12"/>
        <v>12733.630952380952</v>
      </c>
      <c r="H67" s="108">
        <f t="shared" si="10"/>
        <v>297133.63095238095</v>
      </c>
      <c r="I67" s="72">
        <f t="shared" si="2"/>
        <v>5645538.9880952537</v>
      </c>
      <c r="J67" s="53"/>
      <c r="K67" s="33"/>
      <c r="L67" s="38"/>
      <c r="M67" s="39"/>
      <c r="N67" s="33"/>
    </row>
    <row r="68" spans="2:14" x14ac:dyDescent="0.2">
      <c r="B68" s="290">
        <f t="shared" si="1"/>
        <v>42</v>
      </c>
      <c r="C68" s="265"/>
      <c r="D68" s="70">
        <f t="shared" ca="1" si="3"/>
        <v>46639</v>
      </c>
      <c r="E68" s="143" t="s">
        <v>136</v>
      </c>
      <c r="F68" s="71">
        <f t="shared" ref="F68:G68" si="13">F67</f>
        <v>284400</v>
      </c>
      <c r="G68" s="107">
        <f t="shared" si="13"/>
        <v>12733.630952380952</v>
      </c>
      <c r="H68" s="108">
        <f t="shared" si="10"/>
        <v>297133.63095238095</v>
      </c>
      <c r="I68" s="72">
        <f t="shared" si="2"/>
        <v>5348405.3571428731</v>
      </c>
      <c r="J68" s="53"/>
      <c r="K68" s="33"/>
      <c r="L68" s="38"/>
      <c r="M68" s="39"/>
      <c r="N68" s="33"/>
    </row>
    <row r="69" spans="2:14" x14ac:dyDescent="0.2">
      <c r="B69" s="290">
        <f t="shared" si="1"/>
        <v>43</v>
      </c>
      <c r="C69" s="265"/>
      <c r="D69" s="70">
        <f t="shared" ca="1" si="3"/>
        <v>46669</v>
      </c>
      <c r="E69" s="143" t="s">
        <v>137</v>
      </c>
      <c r="F69" s="71">
        <f t="shared" ref="F69:G69" si="14">F68</f>
        <v>284400</v>
      </c>
      <c r="G69" s="107">
        <f t="shared" si="14"/>
        <v>12733.630952380952</v>
      </c>
      <c r="H69" s="108">
        <f t="shared" si="10"/>
        <v>297133.63095238095</v>
      </c>
      <c r="I69" s="72">
        <f t="shared" si="2"/>
        <v>5051271.7261904925</v>
      </c>
      <c r="J69" s="53"/>
      <c r="K69" s="33"/>
      <c r="L69" s="38"/>
      <c r="M69" s="39"/>
      <c r="N69" s="33"/>
    </row>
    <row r="70" spans="2:14" x14ac:dyDescent="0.2">
      <c r="B70" s="290">
        <f t="shared" si="1"/>
        <v>44</v>
      </c>
      <c r="C70" s="265"/>
      <c r="D70" s="70">
        <f t="shared" ca="1" si="3"/>
        <v>46700</v>
      </c>
      <c r="E70" s="143" t="s">
        <v>138</v>
      </c>
      <c r="F70" s="71">
        <f t="shared" ref="F70:G70" si="15">F69</f>
        <v>284400</v>
      </c>
      <c r="G70" s="107">
        <f t="shared" si="15"/>
        <v>12733.630952380952</v>
      </c>
      <c r="H70" s="108">
        <f t="shared" si="10"/>
        <v>297133.63095238095</v>
      </c>
      <c r="I70" s="72">
        <f t="shared" si="2"/>
        <v>4754138.0952381119</v>
      </c>
      <c r="J70" s="53"/>
      <c r="K70" s="33"/>
      <c r="L70" s="38"/>
      <c r="M70" s="39"/>
      <c r="N70" s="33"/>
    </row>
    <row r="71" spans="2:14" x14ac:dyDescent="0.2">
      <c r="B71" s="290">
        <f t="shared" si="1"/>
        <v>45</v>
      </c>
      <c r="C71" s="265"/>
      <c r="D71" s="70">
        <f t="shared" ca="1" si="3"/>
        <v>46730</v>
      </c>
      <c r="E71" s="143" t="s">
        <v>139</v>
      </c>
      <c r="F71" s="71">
        <f t="shared" ref="F71:G71" si="16">F70</f>
        <v>284400</v>
      </c>
      <c r="G71" s="107">
        <f t="shared" si="16"/>
        <v>12733.630952380952</v>
      </c>
      <c r="H71" s="108">
        <f t="shared" si="10"/>
        <v>297133.63095238095</v>
      </c>
      <c r="I71" s="72">
        <f t="shared" si="2"/>
        <v>4457004.4642857313</v>
      </c>
      <c r="J71" s="53"/>
      <c r="K71" s="33"/>
      <c r="L71" s="38"/>
      <c r="M71" s="39"/>
      <c r="N71" s="33"/>
    </row>
    <row r="72" spans="2:14" x14ac:dyDescent="0.2">
      <c r="B72" s="290">
        <f t="shared" si="1"/>
        <v>46</v>
      </c>
      <c r="C72" s="265"/>
      <c r="D72" s="70">
        <f t="shared" ca="1" si="3"/>
        <v>46761</v>
      </c>
      <c r="E72" s="143" t="s">
        <v>140</v>
      </c>
      <c r="F72" s="71">
        <f t="shared" ref="F72:G72" si="17">F71</f>
        <v>284400</v>
      </c>
      <c r="G72" s="107">
        <f t="shared" si="17"/>
        <v>12733.630952380952</v>
      </c>
      <c r="H72" s="108">
        <f t="shared" si="10"/>
        <v>297133.63095238095</v>
      </c>
      <c r="I72" s="72">
        <f t="shared" si="2"/>
        <v>4159870.8333333503</v>
      </c>
      <c r="J72" s="53"/>
      <c r="K72" s="33"/>
      <c r="L72" s="38"/>
      <c r="M72" s="39"/>
      <c r="N72" s="33"/>
    </row>
    <row r="73" spans="2:14" x14ac:dyDescent="0.2">
      <c r="B73" s="290">
        <f t="shared" si="1"/>
        <v>47</v>
      </c>
      <c r="C73" s="265"/>
      <c r="D73" s="70">
        <f t="shared" ca="1" si="3"/>
        <v>46792</v>
      </c>
      <c r="E73" s="143" t="s">
        <v>141</v>
      </c>
      <c r="F73" s="71">
        <f t="shared" ref="F73:G73" si="18">F72</f>
        <v>284400</v>
      </c>
      <c r="G73" s="107">
        <f t="shared" si="18"/>
        <v>12733.630952380952</v>
      </c>
      <c r="H73" s="108">
        <f t="shared" si="10"/>
        <v>297133.63095238095</v>
      </c>
      <c r="I73" s="72">
        <f t="shared" si="2"/>
        <v>3862737.2023809692</v>
      </c>
      <c r="J73" s="53"/>
      <c r="K73" s="33"/>
      <c r="L73" s="38"/>
      <c r="M73" s="39"/>
      <c r="N73" s="33"/>
    </row>
    <row r="74" spans="2:14" x14ac:dyDescent="0.2">
      <c r="B74" s="290">
        <f t="shared" si="1"/>
        <v>48</v>
      </c>
      <c r="C74" s="265"/>
      <c r="D74" s="70">
        <f t="shared" ca="1" si="3"/>
        <v>46821</v>
      </c>
      <c r="E74" s="143" t="s">
        <v>142</v>
      </c>
      <c r="F74" s="71">
        <f t="shared" ref="F74:G74" si="19">F73</f>
        <v>284400</v>
      </c>
      <c r="G74" s="107">
        <f t="shared" si="19"/>
        <v>12733.630952380952</v>
      </c>
      <c r="H74" s="108">
        <f t="shared" si="10"/>
        <v>297133.63095238095</v>
      </c>
      <c r="I74" s="72">
        <f t="shared" si="2"/>
        <v>3565603.5714285881</v>
      </c>
      <c r="J74" s="53"/>
      <c r="K74" s="33"/>
      <c r="L74" s="38"/>
      <c r="M74" s="39"/>
      <c r="N74" s="33"/>
    </row>
    <row r="75" spans="2:14" x14ac:dyDescent="0.2">
      <c r="B75" s="290">
        <f t="shared" si="1"/>
        <v>49</v>
      </c>
      <c r="C75" s="265"/>
      <c r="D75" s="70">
        <f t="shared" ca="1" si="3"/>
        <v>46852</v>
      </c>
      <c r="E75" s="175" t="s">
        <v>240</v>
      </c>
      <c r="F75" s="71">
        <f t="shared" ref="F75:G75" si="20">F74</f>
        <v>284400</v>
      </c>
      <c r="G75" s="107">
        <f t="shared" si="20"/>
        <v>12733.630952380952</v>
      </c>
      <c r="H75" s="108">
        <f t="shared" ref="H75:H86" si="21">SUM(F75:G75)</f>
        <v>297133.63095238095</v>
      </c>
      <c r="I75" s="72">
        <f t="shared" ref="I75:I86" si="22">I74-H75</f>
        <v>3268469.9404762071</v>
      </c>
      <c r="J75" s="53"/>
      <c r="K75" s="33"/>
      <c r="L75" s="38"/>
      <c r="M75" s="39"/>
      <c r="N75" s="33"/>
    </row>
    <row r="76" spans="2:14" x14ac:dyDescent="0.2">
      <c r="B76" s="290">
        <f t="shared" si="1"/>
        <v>50</v>
      </c>
      <c r="C76" s="265"/>
      <c r="D76" s="70">
        <f t="shared" ca="1" si="3"/>
        <v>46882</v>
      </c>
      <c r="E76" s="175" t="s">
        <v>241</v>
      </c>
      <c r="F76" s="71">
        <f t="shared" ref="F76:G76" si="23">F75</f>
        <v>284400</v>
      </c>
      <c r="G76" s="107">
        <f t="shared" si="23"/>
        <v>12733.630952380952</v>
      </c>
      <c r="H76" s="108">
        <f t="shared" si="21"/>
        <v>297133.63095238095</v>
      </c>
      <c r="I76" s="72">
        <f t="shared" si="22"/>
        <v>2971336.309523826</v>
      </c>
      <c r="J76" s="53"/>
      <c r="K76" s="33"/>
      <c r="L76" s="38"/>
      <c r="M76" s="39"/>
      <c r="N76" s="33"/>
    </row>
    <row r="77" spans="2:14" x14ac:dyDescent="0.2">
      <c r="B77" s="290">
        <f t="shared" si="1"/>
        <v>51</v>
      </c>
      <c r="C77" s="265"/>
      <c r="D77" s="70">
        <f t="shared" ca="1" si="3"/>
        <v>46913</v>
      </c>
      <c r="E77" s="175" t="s">
        <v>242</v>
      </c>
      <c r="F77" s="71">
        <f t="shared" ref="F77:G77" si="24">F76</f>
        <v>284400</v>
      </c>
      <c r="G77" s="107">
        <f t="shared" si="24"/>
        <v>12733.630952380952</v>
      </c>
      <c r="H77" s="108">
        <f t="shared" si="21"/>
        <v>297133.63095238095</v>
      </c>
      <c r="I77" s="72">
        <f t="shared" si="22"/>
        <v>2674202.6785714449</v>
      </c>
      <c r="J77" s="53"/>
      <c r="K77" s="33"/>
      <c r="L77" s="38"/>
      <c r="M77" s="39"/>
      <c r="N77" s="33"/>
    </row>
    <row r="78" spans="2:14" x14ac:dyDescent="0.2">
      <c r="B78" s="290">
        <f t="shared" si="1"/>
        <v>52</v>
      </c>
      <c r="C78" s="265"/>
      <c r="D78" s="70">
        <f t="shared" ca="1" si="3"/>
        <v>46943</v>
      </c>
      <c r="E78" s="175" t="s">
        <v>243</v>
      </c>
      <c r="F78" s="71">
        <f t="shared" ref="F78:G78" si="25">F77</f>
        <v>284400</v>
      </c>
      <c r="G78" s="107">
        <f t="shared" si="25"/>
        <v>12733.630952380952</v>
      </c>
      <c r="H78" s="108">
        <f t="shared" si="21"/>
        <v>297133.63095238095</v>
      </c>
      <c r="I78" s="72">
        <f t="shared" si="22"/>
        <v>2377069.0476190639</v>
      </c>
      <c r="J78" s="53"/>
      <c r="K78" s="33"/>
      <c r="L78" s="38"/>
      <c r="M78" s="39"/>
      <c r="N78" s="33"/>
    </row>
    <row r="79" spans="2:14" x14ac:dyDescent="0.2">
      <c r="B79" s="290">
        <f t="shared" si="1"/>
        <v>53</v>
      </c>
      <c r="C79" s="265"/>
      <c r="D79" s="70">
        <f t="shared" ca="1" si="3"/>
        <v>46974</v>
      </c>
      <c r="E79" s="175" t="s">
        <v>244</v>
      </c>
      <c r="F79" s="71">
        <f t="shared" ref="F79:G79" si="26">F78</f>
        <v>284400</v>
      </c>
      <c r="G79" s="107">
        <f t="shared" si="26"/>
        <v>12733.630952380952</v>
      </c>
      <c r="H79" s="108">
        <f t="shared" si="21"/>
        <v>297133.63095238095</v>
      </c>
      <c r="I79" s="72">
        <f t="shared" si="22"/>
        <v>2079935.4166666828</v>
      </c>
      <c r="J79" s="53"/>
      <c r="K79" s="33"/>
      <c r="L79" s="38"/>
      <c r="M79" s="39"/>
      <c r="N79" s="33"/>
    </row>
    <row r="80" spans="2:14" x14ac:dyDescent="0.2">
      <c r="B80" s="290">
        <f t="shared" si="1"/>
        <v>54</v>
      </c>
      <c r="C80" s="265"/>
      <c r="D80" s="70">
        <f t="shared" ca="1" si="3"/>
        <v>47005</v>
      </c>
      <c r="E80" s="175" t="s">
        <v>245</v>
      </c>
      <c r="F80" s="71">
        <f t="shared" ref="F80:G80" si="27">F79</f>
        <v>284400</v>
      </c>
      <c r="G80" s="107">
        <f t="shared" si="27"/>
        <v>12733.630952380952</v>
      </c>
      <c r="H80" s="108">
        <f t="shared" si="21"/>
        <v>297133.63095238095</v>
      </c>
      <c r="I80" s="72">
        <f t="shared" si="22"/>
        <v>1782801.7857143017</v>
      </c>
      <c r="J80" s="53"/>
      <c r="K80" s="33"/>
      <c r="L80" s="38"/>
      <c r="M80" s="39"/>
      <c r="N80" s="33"/>
    </row>
    <row r="81" spans="2:18" x14ac:dyDescent="0.2">
      <c r="B81" s="290">
        <f t="shared" si="1"/>
        <v>55</v>
      </c>
      <c r="C81" s="265"/>
      <c r="D81" s="70">
        <f t="shared" ca="1" si="3"/>
        <v>47035</v>
      </c>
      <c r="E81" s="175" t="s">
        <v>246</v>
      </c>
      <c r="F81" s="71">
        <f t="shared" ref="F81:G81" si="28">F80</f>
        <v>284400</v>
      </c>
      <c r="G81" s="107">
        <f t="shared" si="28"/>
        <v>12733.630952380952</v>
      </c>
      <c r="H81" s="108">
        <f t="shared" si="21"/>
        <v>297133.63095238095</v>
      </c>
      <c r="I81" s="72">
        <f t="shared" si="22"/>
        <v>1485668.1547619207</v>
      </c>
      <c r="J81" s="53"/>
      <c r="K81" s="33"/>
      <c r="L81" s="38"/>
      <c r="M81" s="39"/>
      <c r="N81" s="33"/>
    </row>
    <row r="82" spans="2:18" x14ac:dyDescent="0.2">
      <c r="B82" s="290">
        <f t="shared" si="1"/>
        <v>56</v>
      </c>
      <c r="C82" s="265"/>
      <c r="D82" s="70">
        <f t="shared" ca="1" si="3"/>
        <v>47066</v>
      </c>
      <c r="E82" s="175" t="s">
        <v>247</v>
      </c>
      <c r="F82" s="71">
        <f t="shared" ref="F82:G82" si="29">F81</f>
        <v>284400</v>
      </c>
      <c r="G82" s="107">
        <f t="shared" si="29"/>
        <v>12733.630952380952</v>
      </c>
      <c r="H82" s="108">
        <f t="shared" si="21"/>
        <v>297133.63095238095</v>
      </c>
      <c r="I82" s="72">
        <f t="shared" si="22"/>
        <v>1188534.5238095396</v>
      </c>
      <c r="J82" s="53"/>
      <c r="K82" s="33"/>
      <c r="L82" s="38"/>
      <c r="M82" s="39"/>
      <c r="N82" s="33"/>
    </row>
    <row r="83" spans="2:18" x14ac:dyDescent="0.2">
      <c r="B83" s="290">
        <f t="shared" si="1"/>
        <v>57</v>
      </c>
      <c r="C83" s="265"/>
      <c r="D83" s="70">
        <f t="shared" ca="1" si="3"/>
        <v>47096</v>
      </c>
      <c r="E83" s="175" t="s">
        <v>248</v>
      </c>
      <c r="F83" s="71">
        <f t="shared" ref="F83:G83" si="30">F82</f>
        <v>284400</v>
      </c>
      <c r="G83" s="107">
        <f t="shared" si="30"/>
        <v>12733.630952380952</v>
      </c>
      <c r="H83" s="108">
        <f t="shared" si="21"/>
        <v>297133.63095238095</v>
      </c>
      <c r="I83" s="72">
        <f t="shared" si="22"/>
        <v>891400.89285715867</v>
      </c>
      <c r="J83" s="53"/>
      <c r="K83" s="33"/>
      <c r="L83" s="38"/>
      <c r="M83" s="39"/>
      <c r="N83" s="33"/>
    </row>
    <row r="84" spans="2:18" x14ac:dyDescent="0.2">
      <c r="B84" s="290">
        <f t="shared" si="1"/>
        <v>58</v>
      </c>
      <c r="C84" s="265"/>
      <c r="D84" s="70">
        <f t="shared" ca="1" si="3"/>
        <v>47127</v>
      </c>
      <c r="E84" s="175" t="s">
        <v>249</v>
      </c>
      <c r="F84" s="71">
        <f t="shared" ref="F84:G84" si="31">F83</f>
        <v>284400</v>
      </c>
      <c r="G84" s="107">
        <f t="shared" si="31"/>
        <v>12733.630952380952</v>
      </c>
      <c r="H84" s="108">
        <f t="shared" si="21"/>
        <v>297133.63095238095</v>
      </c>
      <c r="I84" s="72">
        <f t="shared" si="22"/>
        <v>594267.26190477773</v>
      </c>
      <c r="J84" s="53"/>
      <c r="K84" s="33"/>
      <c r="L84" s="38"/>
      <c r="M84" s="39"/>
      <c r="N84" s="33"/>
    </row>
    <row r="85" spans="2:18" x14ac:dyDescent="0.2">
      <c r="B85" s="290">
        <f t="shared" si="1"/>
        <v>59</v>
      </c>
      <c r="C85" s="265"/>
      <c r="D85" s="70">
        <f t="shared" ca="1" si="3"/>
        <v>47158</v>
      </c>
      <c r="E85" s="175" t="s">
        <v>250</v>
      </c>
      <c r="F85" s="71">
        <f t="shared" ref="F85:G85" si="32">F84</f>
        <v>284400</v>
      </c>
      <c r="G85" s="107">
        <f t="shared" si="32"/>
        <v>12733.630952380952</v>
      </c>
      <c r="H85" s="108">
        <f t="shared" si="21"/>
        <v>297133.63095238095</v>
      </c>
      <c r="I85" s="72">
        <f t="shared" si="22"/>
        <v>297133.63095239678</v>
      </c>
      <c r="J85" s="53"/>
      <c r="K85" s="33"/>
      <c r="L85" s="38"/>
      <c r="M85" s="39"/>
      <c r="N85" s="33"/>
    </row>
    <row r="86" spans="2:18" ht="15.75" thickBot="1" x14ac:dyDescent="0.25">
      <c r="B86" s="290">
        <f t="shared" si="1"/>
        <v>60</v>
      </c>
      <c r="C86" s="265"/>
      <c r="D86" s="70">
        <f t="shared" ca="1" si="3"/>
        <v>47186</v>
      </c>
      <c r="E86" s="175" t="s">
        <v>251</v>
      </c>
      <c r="F86" s="71">
        <f t="shared" ref="F86:G86" si="33">F85</f>
        <v>284400</v>
      </c>
      <c r="G86" s="107">
        <f t="shared" si="33"/>
        <v>12733.630952380952</v>
      </c>
      <c r="H86" s="108">
        <f t="shared" si="21"/>
        <v>297133.63095238095</v>
      </c>
      <c r="I86" s="72">
        <f t="shared" si="22"/>
        <v>1.5832483768463135E-8</v>
      </c>
      <c r="J86" s="53"/>
      <c r="K86" s="33"/>
      <c r="L86" s="38"/>
      <c r="M86" s="39"/>
      <c r="N86" s="33"/>
    </row>
    <row r="87" spans="2:18" ht="15.75" thickBot="1" x14ac:dyDescent="0.25">
      <c r="B87" s="54"/>
      <c r="C87" s="55"/>
      <c r="D87" s="56"/>
      <c r="E87" s="57" t="s">
        <v>81</v>
      </c>
      <c r="F87" s="58">
        <f>SUM(F25:F86)</f>
        <v>17114000</v>
      </c>
      <c r="G87" s="58">
        <f>SUM(G27:G86)</f>
        <v>764017.85714285693</v>
      </c>
      <c r="H87" s="58">
        <f>SUM(H25:H86)</f>
        <v>17878017.857142843</v>
      </c>
      <c r="I87" s="59"/>
      <c r="J87" s="33"/>
      <c r="K87" s="33"/>
      <c r="L87" s="38">
        <f>SUM(L25:L64)</f>
        <v>56000</v>
      </c>
      <c r="M87" s="39">
        <f>L87-F87</f>
        <v>-17058000</v>
      </c>
      <c r="N87" s="33"/>
    </row>
    <row r="88" spans="2:18" x14ac:dyDescent="0.2">
      <c r="D88" s="60"/>
      <c r="L88" s="61"/>
    </row>
    <row r="89" spans="2:18" x14ac:dyDescent="0.2">
      <c r="B89" s="62" t="s">
        <v>82</v>
      </c>
      <c r="C89" s="62"/>
      <c r="D89" s="60"/>
      <c r="M89" s="33"/>
      <c r="N89" s="38"/>
      <c r="O89" s="33"/>
      <c r="P89" s="33"/>
      <c r="Q89" s="65"/>
      <c r="R89" s="65"/>
    </row>
    <row r="90" spans="2:18" ht="15" customHeight="1" x14ac:dyDescent="0.2">
      <c r="B90" s="261" t="s">
        <v>261</v>
      </c>
      <c r="C90" s="261"/>
      <c r="D90" s="261"/>
      <c r="E90" s="261"/>
      <c r="F90" s="261"/>
      <c r="G90" s="261"/>
      <c r="H90" s="261"/>
      <c r="I90" s="261"/>
      <c r="J90" s="111"/>
      <c r="K90" s="111"/>
      <c r="M90" s="33"/>
      <c r="N90" s="33"/>
      <c r="O90" s="33"/>
      <c r="P90" s="33"/>
      <c r="Q90" s="65"/>
      <c r="R90" s="65"/>
    </row>
    <row r="91" spans="2:18" ht="15" customHeight="1" x14ac:dyDescent="0.2">
      <c r="B91" s="261"/>
      <c r="C91" s="261"/>
      <c r="D91" s="261"/>
      <c r="E91" s="261"/>
      <c r="F91" s="261"/>
      <c r="G91" s="261"/>
      <c r="H91" s="261"/>
      <c r="I91" s="261"/>
      <c r="J91" s="260"/>
      <c r="K91" s="260"/>
      <c r="M91" s="33"/>
      <c r="N91" s="33"/>
      <c r="O91" s="33"/>
      <c r="P91" s="33"/>
      <c r="Q91" s="65"/>
      <c r="R91" s="65"/>
    </row>
    <row r="92" spans="2:18" ht="15" customHeight="1" x14ac:dyDescent="0.2">
      <c r="B92" s="261"/>
      <c r="C92" s="261"/>
      <c r="D92" s="261"/>
      <c r="E92" s="261"/>
      <c r="F92" s="261"/>
      <c r="G92" s="261"/>
      <c r="H92" s="261"/>
      <c r="I92" s="261"/>
      <c r="J92" s="260"/>
      <c r="K92" s="260"/>
      <c r="M92" s="33"/>
      <c r="N92" s="33"/>
      <c r="O92" s="33"/>
      <c r="P92" s="33"/>
      <c r="Q92" s="65"/>
      <c r="R92" s="65"/>
    </row>
    <row r="93" spans="2:18" x14ac:dyDescent="0.2">
      <c r="B93" s="261"/>
      <c r="C93" s="261"/>
      <c r="D93" s="261"/>
      <c r="E93" s="261"/>
      <c r="F93" s="261"/>
      <c r="G93" s="261"/>
      <c r="H93" s="261"/>
      <c r="I93" s="261"/>
      <c r="J93" s="260"/>
      <c r="K93" s="260"/>
      <c r="M93" s="33"/>
      <c r="N93" s="33"/>
      <c r="O93" s="33"/>
      <c r="P93" s="33"/>
      <c r="Q93" s="65"/>
      <c r="R93" s="65"/>
    </row>
    <row r="94" spans="2:18" ht="58.5" customHeight="1" x14ac:dyDescent="0.2">
      <c r="B94" s="261"/>
      <c r="C94" s="261"/>
      <c r="D94" s="261"/>
      <c r="E94" s="261"/>
      <c r="F94" s="261"/>
      <c r="G94" s="261"/>
      <c r="H94" s="261"/>
      <c r="I94" s="261"/>
      <c r="J94" s="260"/>
      <c r="K94" s="260"/>
      <c r="M94" s="33"/>
      <c r="N94" s="33"/>
      <c r="O94" s="33"/>
      <c r="P94" s="33"/>
      <c r="Q94" s="65"/>
      <c r="R94" s="65"/>
    </row>
    <row r="95" spans="2:18" ht="6.75" hidden="1" customHeight="1" x14ac:dyDescent="0.2">
      <c r="B95" s="261"/>
      <c r="C95" s="261"/>
      <c r="D95" s="261"/>
      <c r="E95" s="261"/>
      <c r="F95" s="261"/>
      <c r="G95" s="261"/>
      <c r="H95" s="261"/>
      <c r="I95" s="261"/>
      <c r="J95" s="260"/>
      <c r="K95" s="260"/>
      <c r="M95" s="33"/>
      <c r="N95" s="33"/>
      <c r="O95" s="33"/>
      <c r="P95" s="33"/>
      <c r="Q95" s="65"/>
      <c r="R95" s="65"/>
    </row>
    <row r="96" spans="2:18" ht="49.5" customHeight="1" x14ac:dyDescent="0.2">
      <c r="B96" s="261"/>
      <c r="C96" s="261"/>
      <c r="D96" s="261"/>
      <c r="E96" s="261"/>
      <c r="F96" s="261"/>
      <c r="G96" s="261"/>
      <c r="H96" s="261"/>
      <c r="I96" s="261"/>
      <c r="J96" s="260"/>
      <c r="K96" s="260"/>
      <c r="M96" s="33"/>
      <c r="N96" s="33"/>
      <c r="O96" s="33"/>
      <c r="P96" s="33"/>
      <c r="Q96" s="65"/>
      <c r="R96" s="65"/>
    </row>
    <row r="97" spans="1:28" ht="7.5" hidden="1" customHeight="1" x14ac:dyDescent="0.2">
      <c r="B97" s="261"/>
      <c r="C97" s="261"/>
      <c r="D97" s="261"/>
      <c r="E97" s="261"/>
      <c r="F97" s="261"/>
      <c r="G97" s="261"/>
      <c r="H97" s="261"/>
      <c r="I97" s="261"/>
      <c r="J97" s="260"/>
      <c r="K97" s="260"/>
      <c r="M97" s="33"/>
      <c r="N97" s="33"/>
      <c r="O97" s="33"/>
      <c r="P97" s="33"/>
      <c r="Q97" s="65"/>
      <c r="R97" s="65"/>
    </row>
    <row r="98" spans="1:28" ht="52.5" customHeight="1" x14ac:dyDescent="0.2">
      <c r="B98" s="261"/>
      <c r="C98" s="261"/>
      <c r="D98" s="261"/>
      <c r="E98" s="261"/>
      <c r="F98" s="261"/>
      <c r="G98" s="261"/>
      <c r="H98" s="261"/>
      <c r="I98" s="261"/>
      <c r="J98" s="260"/>
      <c r="K98" s="260"/>
      <c r="M98" s="33"/>
      <c r="N98" s="33"/>
      <c r="O98" s="33"/>
      <c r="P98" s="33"/>
      <c r="Q98" s="65"/>
      <c r="R98" s="65"/>
    </row>
    <row r="99" spans="1:28" hidden="1" x14ac:dyDescent="0.2">
      <c r="B99" s="63"/>
      <c r="C99" s="63"/>
      <c r="M99" s="33"/>
      <c r="N99" s="33"/>
      <c r="O99" s="33"/>
      <c r="P99" s="33"/>
      <c r="Q99" s="65"/>
      <c r="R99" s="65"/>
    </row>
    <row r="100" spans="1:28" hidden="1" x14ac:dyDescent="0.2">
      <c r="B100" s="64"/>
      <c r="C100" s="64"/>
      <c r="M100" s="33"/>
      <c r="N100" s="33"/>
      <c r="O100" s="33"/>
      <c r="P100" s="33"/>
      <c r="Q100" s="65"/>
      <c r="R100" s="65"/>
    </row>
    <row r="101" spans="1:28" hidden="1" x14ac:dyDescent="0.2">
      <c r="B101" s="64"/>
      <c r="C101" s="64"/>
      <c r="M101" s="33"/>
      <c r="N101" s="33"/>
      <c r="O101" s="33"/>
      <c r="P101" s="33"/>
      <c r="Q101" s="65"/>
      <c r="R101" s="65"/>
    </row>
    <row r="102" spans="1:28" hidden="1" x14ac:dyDescent="0.2">
      <c r="B102" s="64"/>
      <c r="C102" s="64"/>
      <c r="M102" s="33"/>
      <c r="N102" s="33"/>
      <c r="O102" s="33"/>
      <c r="P102" s="33"/>
      <c r="Q102" s="65"/>
      <c r="R102" s="65"/>
    </row>
    <row r="103" spans="1:28" hidden="1" x14ac:dyDescent="0.2">
      <c r="B103" s="64"/>
      <c r="C103" s="64"/>
      <c r="M103" s="33"/>
      <c r="N103" s="33"/>
      <c r="O103" s="33"/>
      <c r="P103" s="33"/>
      <c r="Q103" s="65"/>
      <c r="R103" s="65"/>
    </row>
    <row r="104" spans="1:28" s="65" customFormat="1" hidden="1" x14ac:dyDescent="0.2">
      <c r="A104" s="22"/>
      <c r="B104" s="64"/>
      <c r="C104" s="64"/>
      <c r="M104" s="33"/>
      <c r="N104" s="33"/>
      <c r="O104" s="33"/>
      <c r="P104" s="33"/>
    </row>
    <row r="105" spans="1:28" ht="25.5" customHeight="1" x14ac:dyDescent="0.2">
      <c r="M105" s="33"/>
      <c r="N105" s="33"/>
      <c r="O105" s="33"/>
      <c r="P105" s="33"/>
      <c r="Q105" s="65"/>
      <c r="R105" s="65"/>
    </row>
    <row r="106" spans="1:28" x14ac:dyDescent="0.2">
      <c r="B106" s="66" t="s">
        <v>84</v>
      </c>
      <c r="C106" s="66"/>
      <c r="M106" s="33"/>
      <c r="N106" s="33"/>
      <c r="O106" s="33"/>
      <c r="P106" s="33"/>
      <c r="Q106" s="65"/>
      <c r="R106" s="65"/>
    </row>
    <row r="107" spans="1:28" x14ac:dyDescent="0.2">
      <c r="M107" s="33"/>
      <c r="N107" s="33"/>
      <c r="O107" s="33"/>
      <c r="P107" s="33"/>
      <c r="Q107" s="65"/>
      <c r="R107" s="65"/>
    </row>
    <row r="108" spans="1:28" x14ac:dyDescent="0.2">
      <c r="M108" s="33"/>
      <c r="N108" s="33"/>
      <c r="O108" s="33"/>
      <c r="P108" s="33"/>
      <c r="Q108" s="65"/>
      <c r="R108" s="65"/>
    </row>
    <row r="109" spans="1:28" x14ac:dyDescent="0.2">
      <c r="B109" s="259" t="s">
        <v>85</v>
      </c>
      <c r="C109" s="259"/>
      <c r="D109" s="259"/>
      <c r="F109" s="259" t="s">
        <v>86</v>
      </c>
      <c r="G109" s="259"/>
      <c r="H109" s="259"/>
      <c r="I109" s="259"/>
      <c r="J109" s="259"/>
      <c r="K109" s="259"/>
      <c r="M109" s="33"/>
      <c r="N109" s="33"/>
      <c r="O109" s="33"/>
      <c r="P109" s="33"/>
      <c r="Q109" s="65"/>
      <c r="R109" s="65"/>
    </row>
    <row r="110" spans="1:28" x14ac:dyDescent="0.2">
      <c r="M110" s="33"/>
      <c r="N110" s="33"/>
      <c r="O110" s="33"/>
      <c r="P110" s="33"/>
      <c r="Q110" s="65"/>
      <c r="R110" s="65"/>
    </row>
    <row r="111" spans="1:28" x14ac:dyDescent="0.2">
      <c r="B111" s="67"/>
      <c r="C111" s="67"/>
      <c r="D111" s="67"/>
      <c r="E111" s="67"/>
      <c r="F111" s="67"/>
      <c r="G111" s="67"/>
      <c r="H111" s="67"/>
      <c r="I111" s="67"/>
      <c r="J111" s="33"/>
      <c r="K111" s="33"/>
      <c r="L111" s="33"/>
      <c r="M111" s="33"/>
      <c r="N111" s="33"/>
      <c r="O111" s="33"/>
      <c r="P111" s="33"/>
      <c r="Q111" s="33"/>
      <c r="R111" s="33"/>
      <c r="S111" s="33"/>
      <c r="T111" s="31"/>
      <c r="U111" s="31"/>
      <c r="V111" s="31"/>
      <c r="W111" s="31"/>
      <c r="X111" s="31"/>
      <c r="Y111" s="31"/>
      <c r="Z111" s="31"/>
      <c r="AA111" s="31"/>
      <c r="AB111" s="31"/>
    </row>
    <row r="112" spans="1:28" x14ac:dyDescent="0.2">
      <c r="B112" s="67"/>
      <c r="C112" s="67"/>
      <c r="D112" s="67"/>
      <c r="E112" s="67"/>
      <c r="F112" s="67"/>
      <c r="G112" s="67"/>
      <c r="H112" s="67"/>
      <c r="I112" s="67"/>
      <c r="J112" s="33"/>
      <c r="K112" s="33"/>
      <c r="L112" s="33"/>
      <c r="M112" s="33"/>
      <c r="N112" s="33"/>
      <c r="O112" s="33"/>
      <c r="P112" s="33"/>
      <c r="Q112" s="33"/>
      <c r="R112" s="33"/>
      <c r="S112" s="33"/>
      <c r="T112" s="31"/>
      <c r="U112" s="31"/>
      <c r="V112" s="31"/>
      <c r="W112" s="31"/>
      <c r="X112" s="31"/>
      <c r="Y112" s="31"/>
      <c r="Z112" s="31"/>
      <c r="AA112" s="31"/>
      <c r="AB112" s="31"/>
    </row>
    <row r="113" spans="1:10" x14ac:dyDescent="0.2">
      <c r="B113" s="67"/>
      <c r="C113" s="67"/>
      <c r="D113" s="67"/>
      <c r="E113" s="67"/>
      <c r="F113" s="67"/>
      <c r="G113" s="67"/>
      <c r="H113" s="67"/>
      <c r="I113" s="67"/>
    </row>
    <row r="114" spans="1:10" x14ac:dyDescent="0.2">
      <c r="B114" s="67"/>
      <c r="C114" s="67"/>
      <c r="D114" s="67"/>
      <c r="E114" s="67"/>
      <c r="F114" s="67"/>
      <c r="G114" s="67"/>
      <c r="H114" s="67"/>
      <c r="I114" s="67"/>
    </row>
    <row r="115" spans="1:10" x14ac:dyDescent="0.2">
      <c r="B115" s="262" t="s">
        <v>144</v>
      </c>
      <c r="C115" s="262"/>
      <c r="D115" s="262"/>
      <c r="E115" s="262"/>
      <c r="F115" s="262"/>
      <c r="G115" s="262"/>
      <c r="H115" s="262"/>
      <c r="I115" s="262"/>
      <c r="J115" s="68"/>
    </row>
    <row r="116" spans="1:10" x14ac:dyDescent="0.2">
      <c r="B116" s="263" t="s">
        <v>145</v>
      </c>
      <c r="C116" s="263"/>
      <c r="D116" s="263"/>
      <c r="E116" s="263"/>
      <c r="F116" s="263"/>
      <c r="G116" s="263"/>
      <c r="H116" s="263"/>
      <c r="I116" s="263"/>
      <c r="J116" s="68"/>
    </row>
    <row r="117" spans="1:10" x14ac:dyDescent="0.2">
      <c r="B117" s="262" t="s">
        <v>146</v>
      </c>
      <c r="C117" s="262"/>
      <c r="D117" s="262"/>
      <c r="E117" s="262"/>
      <c r="F117" s="262"/>
      <c r="G117" s="262"/>
      <c r="H117" s="262"/>
      <c r="I117" s="262"/>
      <c r="J117" s="68"/>
    </row>
    <row r="118" spans="1:10" x14ac:dyDescent="0.2">
      <c r="B118" s="262" t="s">
        <v>147</v>
      </c>
      <c r="C118" s="262"/>
      <c r="D118" s="262"/>
      <c r="E118" s="262"/>
      <c r="F118" s="262"/>
      <c r="G118" s="262"/>
      <c r="H118" s="262"/>
      <c r="I118" s="262"/>
      <c r="J118" s="68"/>
    </row>
    <row r="119" spans="1:10" x14ac:dyDescent="0.2">
      <c r="B119" s="262" t="s">
        <v>148</v>
      </c>
      <c r="C119" s="262"/>
      <c r="D119" s="262"/>
      <c r="E119" s="262"/>
      <c r="F119" s="262"/>
      <c r="G119" s="262"/>
      <c r="H119" s="262"/>
      <c r="I119" s="262"/>
      <c r="J119" s="68"/>
    </row>
    <row r="120" spans="1:10" x14ac:dyDescent="0.2">
      <c r="B120" s="68"/>
      <c r="C120" s="68"/>
      <c r="D120" s="68"/>
      <c r="E120" s="68"/>
      <c r="F120" s="68"/>
      <c r="G120" s="68"/>
      <c r="H120" s="68"/>
      <c r="I120" s="68"/>
      <c r="J120" s="68"/>
    </row>
    <row r="121" spans="1:10" x14ac:dyDescent="0.2">
      <c r="B121" s="67"/>
      <c r="C121" s="67"/>
      <c r="D121" s="67"/>
      <c r="E121" s="67"/>
      <c r="F121" s="67"/>
      <c r="G121" s="67"/>
      <c r="H121" s="67"/>
      <c r="I121" s="67"/>
    </row>
    <row r="122" spans="1:10" x14ac:dyDescent="0.2">
      <c r="B122" s="67"/>
      <c r="C122" s="67"/>
      <c r="D122" s="67"/>
      <c r="E122" s="67"/>
      <c r="F122" s="67"/>
      <c r="G122" s="67"/>
      <c r="H122" s="67"/>
      <c r="I122" s="67"/>
    </row>
    <row r="123" spans="1:10" x14ac:dyDescent="0.2">
      <c r="B123" s="67"/>
      <c r="C123" s="67"/>
      <c r="D123" s="67"/>
      <c r="E123" s="67"/>
      <c r="F123" s="67"/>
      <c r="G123" s="67"/>
      <c r="H123" s="67"/>
      <c r="I123" s="67"/>
    </row>
    <row r="124" spans="1:10" x14ac:dyDescent="0.2">
      <c r="B124" s="67"/>
      <c r="C124" s="67"/>
      <c r="D124" s="67"/>
      <c r="E124" s="67"/>
      <c r="F124" s="67"/>
      <c r="G124" s="67"/>
      <c r="H124" s="67"/>
      <c r="I124" s="67"/>
    </row>
    <row r="128" spans="1:10" x14ac:dyDescent="0.2">
      <c r="A128" s="65"/>
    </row>
  </sheetData>
  <sheetProtection password="C931" sheet="1" selectLockedCells="1"/>
  <mergeCells count="87">
    <mergeCell ref="B84:C84"/>
    <mergeCell ref="B85:C85"/>
    <mergeCell ref="B86:C86"/>
    <mergeCell ref="B79:C79"/>
    <mergeCell ref="B80:C80"/>
    <mergeCell ref="B81:C81"/>
    <mergeCell ref="B82:C82"/>
    <mergeCell ref="B83:C83"/>
    <mergeCell ref="C9:D9"/>
    <mergeCell ref="L1:L3"/>
    <mergeCell ref="I2:I3"/>
    <mergeCell ref="C6:D6"/>
    <mergeCell ref="C7:D7"/>
    <mergeCell ref="C8:D8"/>
    <mergeCell ref="B10:B11"/>
    <mergeCell ref="C11:D11"/>
    <mergeCell ref="B24:C24"/>
    <mergeCell ref="B25:C25"/>
    <mergeCell ref="B26:C26"/>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B62:C62"/>
    <mergeCell ref="B51:C51"/>
    <mergeCell ref="B52:C52"/>
    <mergeCell ref="B53:C53"/>
    <mergeCell ref="B54:C54"/>
    <mergeCell ref="B55:C55"/>
    <mergeCell ref="B56:C56"/>
    <mergeCell ref="B57:C57"/>
    <mergeCell ref="B58:C58"/>
    <mergeCell ref="B59:C59"/>
    <mergeCell ref="B60:C60"/>
    <mergeCell ref="B61:C61"/>
    <mergeCell ref="B116:I116"/>
    <mergeCell ref="B63:C63"/>
    <mergeCell ref="B64:C64"/>
    <mergeCell ref="B90:I98"/>
    <mergeCell ref="J91:K91"/>
    <mergeCell ref="J92:K92"/>
    <mergeCell ref="J93:K93"/>
    <mergeCell ref="J94:K94"/>
    <mergeCell ref="J95:K95"/>
    <mergeCell ref="J96:K96"/>
    <mergeCell ref="J97:K97"/>
    <mergeCell ref="J98:K98"/>
    <mergeCell ref="B75:C75"/>
    <mergeCell ref="B76:C76"/>
    <mergeCell ref="B77:C77"/>
    <mergeCell ref="B78:C78"/>
    <mergeCell ref="B118:I118"/>
    <mergeCell ref="B119:I119"/>
    <mergeCell ref="B65:C65"/>
    <mergeCell ref="B66:C66"/>
    <mergeCell ref="B67:C67"/>
    <mergeCell ref="B68:C68"/>
    <mergeCell ref="B69:C69"/>
    <mergeCell ref="B70:C70"/>
    <mergeCell ref="B71:C71"/>
    <mergeCell ref="B72:C72"/>
    <mergeCell ref="B117:I117"/>
    <mergeCell ref="B73:C73"/>
    <mergeCell ref="B74:C74"/>
    <mergeCell ref="B109:D109"/>
    <mergeCell ref="F109:K109"/>
    <mergeCell ref="B115:I115"/>
  </mergeCells>
  <hyperlinks>
    <hyperlink ref="L4" location="Input!A1" display="Return to Input" xr:uid="{00000000-0004-0000-0800-000000000000}"/>
  </hyperlinks>
  <printOptions horizontalCentered="1" verticalCentered="1"/>
  <pageMargins left="0.39370078740157483" right="0.39370078740157483" top="0" bottom="0" header="0.31496062992125984" footer="0.31496062992125984"/>
  <pageSetup paperSize="258" scale="64" orientation="portrait" verticalDpi="4294967293" r:id="rId1"/>
  <rowBreaks count="1" manualBreakCount="1">
    <brk id="88" min="1" max="8" man="1"/>
  </rowBreaks>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Pricelist</vt:lpstr>
      <vt:lpstr>INPUT</vt:lpstr>
      <vt:lpstr>SY_Non_Cash</vt:lpstr>
      <vt:lpstr>Classic_Mem_Cash</vt:lpstr>
      <vt:lpstr>SY_Mem_Cash</vt:lpstr>
      <vt:lpstr>Classic_Mem_Inst1</vt:lpstr>
      <vt:lpstr>Classic_Mem_Inst2</vt:lpstr>
      <vt:lpstr>Classic_Mem_Inst3</vt:lpstr>
      <vt:lpstr>Classic_Mem_Inst4</vt:lpstr>
      <vt:lpstr>Classic_Mem_Inst5</vt:lpstr>
      <vt:lpstr>Classic_Mem_Inst6</vt:lpstr>
      <vt:lpstr>Classic_Non_Cash</vt:lpstr>
      <vt:lpstr>Classic_Non_Inst1</vt:lpstr>
      <vt:lpstr>Classic_Non_Inst2</vt:lpstr>
      <vt:lpstr>Classic_Non_Inst3</vt:lpstr>
      <vt:lpstr>Classic_Non_Inst5</vt:lpstr>
      <vt:lpstr>Classic_Non_Inst4</vt:lpstr>
      <vt:lpstr>Classic_Non_Inst6</vt:lpstr>
      <vt:lpstr>Classic_Mem_Cash!Print_Area</vt:lpstr>
      <vt:lpstr>Classic_Mem_Inst1!Print_Area</vt:lpstr>
      <vt:lpstr>Classic_Mem_Inst2!Print_Area</vt:lpstr>
      <vt:lpstr>Classic_Mem_Inst3!Print_Area</vt:lpstr>
      <vt:lpstr>Classic_Mem_Inst4!Print_Area</vt:lpstr>
      <vt:lpstr>Classic_Mem_Inst5!Print_Area</vt:lpstr>
      <vt:lpstr>Classic_Mem_Inst6!Print_Area</vt:lpstr>
      <vt:lpstr>Classic_Non_Cash!Print_Area</vt:lpstr>
      <vt:lpstr>Classic_Non_Inst1!Print_Area</vt:lpstr>
      <vt:lpstr>Classic_Non_Inst2!Print_Area</vt:lpstr>
      <vt:lpstr>Classic_Non_Inst3!Print_Area</vt:lpstr>
      <vt:lpstr>Classic_Non_Inst4!Print_Area</vt:lpstr>
      <vt:lpstr>Classic_Non_Inst5!Print_Area</vt:lpstr>
      <vt:lpstr>Classic_Non_Inst6!Print_Area</vt:lpstr>
      <vt:lpstr>Pricelist!Print_Area</vt:lpstr>
      <vt:lpstr>SY_Mem_Cash!Print_Area</vt:lpstr>
      <vt:lpstr>SY_Non_Cash!Print_Area</vt:lpstr>
      <vt:lpstr>Pricelist!Print_Titles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Cyndi.Boborol</dc:creator>
  <cp:keywords/>
  <dc:description/>
  <cp:lastModifiedBy>Angela Marie S. Aulo</cp:lastModifiedBy>
  <cp:revision/>
  <dcterms:created xsi:type="dcterms:W3CDTF">2015-07-02T06:27:07Z</dcterms:created>
  <dcterms:modified xsi:type="dcterms:W3CDTF">2023-09-28T08:27:35Z</dcterms:modified>
  <cp:category/>
  <cp:contentStatus/>
</cp:coreProperties>
</file>