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7"/>
  <workbookPr/>
  <mc:AlternateContent xmlns:mc="http://schemas.openxmlformats.org/markup-compatibility/2006">
    <mc:Choice Requires="x15">
      <x15ac:absPath xmlns:x15ac="http://schemas.microsoft.com/office/spreadsheetml/2010/11/ac" url="/private/var/mobile/Library/Mobile Documents/com~apple~CloudDocs/Desktop/2023 Q4 SAMPLE COMPUTATIONS/SOLARA PARK/"/>
    </mc:Choice>
  </mc:AlternateContent>
  <xr:revisionPtr revIDLastSave="0" documentId="11_D9FF07B4A967D480169C47B410F5821D9A65D5EB" xr6:coauthVersionLast="47" xr6:coauthVersionMax="47" xr10:uidLastSave="{00000000-0000-0000-0000-000000000000}"/>
  <bookViews>
    <workbookView xWindow="0" yWindow="0" windowWidth="28800" windowHeight="12260" xr2:uid="{00000000-000D-0000-FFFF-FFFF00000000}"/>
  </bookViews>
  <sheets>
    <sheet name="10%SFDP &amp; 10% - 48MONS" sheetId="1" r:id="rId1"/>
    <sheet name="NDI_Reference" sheetId="2" r:id="rId2"/>
  </sheets>
  <definedNames>
    <definedName name="ACServiceFee">'10%SFDP &amp; 10% - 48MONS'!$G$26</definedName>
    <definedName name="AllowedDefMonths">'10%SFDP &amp; 10% - 48MONS'!$G$5</definedName>
    <definedName name="BookingDiscount">'10%SFDP &amp; 10% - 48MONS'!$G$17</definedName>
    <definedName name="BulkDiscount">'10%SFDP &amp; 10% - 48MONS'!#REF!</definedName>
    <definedName name="CommittedSalesDiscount">'10%SFDP &amp; 10% - 48MONS'!$G$15</definedName>
    <definedName name="Discount1Desc">'10%SFDP &amp; 10% - 48MONS'!$B$21</definedName>
    <definedName name="Discount1Value">'10%SFDP &amp; 10% - 48MONS'!$G$21</definedName>
    <definedName name="Discount2Desc">'10%SFDP &amp; 10% - 48MONS'!#REF!</definedName>
    <definedName name="Discount2Value">'10%SFDP &amp; 10% - 48MONS'!#REF!</definedName>
    <definedName name="Downpayment">'10%SFDP &amp; 10% - 48MONS'!$A$31</definedName>
    <definedName name="DPDate">'10%SFDP &amp; 10% - 48MONS'!$F$39</definedName>
    <definedName name="EmployeeDiscount">'10%SFDP &amp; 10% - 48MONS'!$G$19</definedName>
    <definedName name="Floor">'10%SFDP &amp; 10% - 48MONS'!$C$7</definedName>
    <definedName name="FloorArea">'10%SFDP &amp; 10% - 48MONS'!$D$7</definedName>
    <definedName name="LumpOCDate">'10%SFDP &amp; 10% - 48MONS'!$B$22</definedName>
    <definedName name="Mode">'10%SFDP &amp; 10% - 48MONS'!$D$4</definedName>
    <definedName name="Model">'10%SFDP &amp; 10% - 48MONS'!$F$7</definedName>
    <definedName name="NoDPSchedule">'10%SFDP &amp; 10% - 48MONS'!$A$45</definedName>
    <definedName name="Note1">'10%SFDP &amp; 10% - 48MONS'!$A$119</definedName>
    <definedName name="OtherBSDiscount">'10%SFDP &amp; 10% - 48MONS'!$G$18</definedName>
    <definedName name="OtherChargesPercentage">'10%SFDP &amp; 10% - 48MONS'!$A$24</definedName>
    <definedName name="OtherDiscount">'10%SFDP &amp; 10% - 48MONS'!$G$20</definedName>
    <definedName name="OtherRSDiscount">'10%SFDP &amp; 10% - 48MONS'!$G$14</definedName>
    <definedName name="Payee">'10%SFDP &amp; 10% - 48MONS'!$A$131</definedName>
    <definedName name="PercentageDiscount">'10%SFDP &amp; 10% - 48MONS'!$A$12</definedName>
    <definedName name="ProjectName">'10%SFDP &amp; 10% - 48MONS'!$A$3</definedName>
    <definedName name="ReservationDate">'10%SFDP &amp; 10% - 48MONS'!$F$34</definedName>
    <definedName name="ReservationDiscount">'10%SFDP &amp; 10% - 48MONS'!$G$13</definedName>
    <definedName name="ReservationFee">'10%SFDP &amp; 10% - 48MONS'!$G$34</definedName>
    <definedName name="SellingPrice">'10%SFDP &amp; 10% - 48MONS'!$G$10</definedName>
    <definedName name="ServiceFee">'10%SFDP &amp; 10% - 48MONS'!$G$25</definedName>
    <definedName name="SpotDownpayment">'10%SFDP &amp; 10% - 48MONS'!$A$37</definedName>
    <definedName name="StandardDiscount">'10%SFDP &amp; 10% - 48MONS'!$G$12</definedName>
    <definedName name="TotalOtherCharges">'10%SFDP &amp; 10% - 48MONS'!$G$24</definedName>
    <definedName name="Tower">'10%SFDP &amp; 10% - 48MONS'!$A$7</definedName>
    <definedName name="Unit">'10%SFDP &amp; 10% - 48MONS'!$B$7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2" l="1"/>
  <c r="A46" i="2"/>
  <c r="A45" i="2"/>
  <c r="A44" i="2"/>
  <c r="A43" i="2"/>
  <c r="A42" i="2"/>
  <c r="A41" i="2"/>
  <c r="A40" i="2"/>
  <c r="A39" i="2"/>
  <c r="A38" i="2"/>
  <c r="F34" i="1"/>
  <c r="F39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F115" i="1"/>
  <c r="F14" i="2"/>
  <c r="D17" i="2"/>
  <c r="F34" i="2"/>
  <c r="A28" i="2"/>
  <c r="F35" i="2"/>
  <c r="G11" i="1"/>
  <c r="G12" i="1"/>
  <c r="G22" i="1"/>
  <c r="G23" i="1"/>
  <c r="G31" i="1"/>
  <c r="G12" i="2"/>
  <c r="G26" i="2"/>
  <c r="A26" i="2"/>
  <c r="C30" i="2"/>
  <c r="C34" i="2"/>
  <c r="C35" i="2"/>
  <c r="F25" i="1"/>
  <c r="G27" i="1"/>
  <c r="G32" i="1"/>
  <c r="G27" i="2"/>
  <c r="A27" i="2"/>
  <c r="D34" i="2"/>
  <c r="D35" i="2"/>
  <c r="E35" i="2"/>
  <c r="G34" i="2"/>
  <c r="E34" i="2"/>
  <c r="A34" i="2"/>
  <c r="C31" i="2"/>
  <c r="G28" i="2"/>
  <c r="A25" i="2"/>
  <c r="G13" i="2"/>
  <c r="G14" i="2"/>
  <c r="C21" i="2"/>
  <c r="F21" i="2"/>
  <c r="G21" i="2"/>
  <c r="E21" i="2"/>
  <c r="D18" i="2"/>
  <c r="D19" i="2"/>
  <c r="D20" i="2"/>
  <c r="D21" i="2"/>
  <c r="C20" i="2"/>
  <c r="F20" i="2"/>
  <c r="G20" i="2"/>
  <c r="E20" i="2"/>
  <c r="C19" i="2"/>
  <c r="F19" i="2"/>
  <c r="G19" i="2"/>
  <c r="E19" i="2"/>
  <c r="C18" i="2"/>
  <c r="F18" i="2"/>
  <c r="G18" i="2"/>
  <c r="E18" i="2"/>
  <c r="C17" i="2"/>
  <c r="F17" i="2"/>
  <c r="G17" i="2"/>
  <c r="E17" i="2"/>
  <c r="F8" i="2"/>
  <c r="D8" i="2"/>
  <c r="C8" i="2"/>
  <c r="B8" i="2"/>
  <c r="A8" i="2"/>
  <c r="D5" i="2"/>
  <c r="A4" i="2"/>
  <c r="B3" i="2"/>
  <c r="B2" i="2"/>
  <c r="G115" i="1"/>
  <c r="F114" i="1"/>
  <c r="G111" i="1"/>
  <c r="F111" i="1"/>
  <c r="E111" i="1"/>
  <c r="D111" i="1"/>
  <c r="G110" i="1"/>
  <c r="F110" i="1"/>
  <c r="E110" i="1"/>
  <c r="D110" i="1"/>
  <c r="G109" i="1"/>
  <c r="F109" i="1"/>
  <c r="E109" i="1"/>
  <c r="D109" i="1"/>
  <c r="G108" i="1"/>
  <c r="F108" i="1"/>
  <c r="E108" i="1"/>
  <c r="D108" i="1"/>
  <c r="G107" i="1"/>
  <c r="F107" i="1"/>
  <c r="E107" i="1"/>
  <c r="D107" i="1"/>
  <c r="G106" i="1"/>
  <c r="F106" i="1"/>
  <c r="E106" i="1"/>
  <c r="D106" i="1"/>
  <c r="G105" i="1"/>
  <c r="F105" i="1"/>
  <c r="E105" i="1"/>
  <c r="D105" i="1"/>
  <c r="G104" i="1"/>
  <c r="F104" i="1"/>
  <c r="E104" i="1"/>
  <c r="D104" i="1"/>
  <c r="G103" i="1"/>
  <c r="F103" i="1"/>
  <c r="E103" i="1"/>
  <c r="D103" i="1"/>
  <c r="G102" i="1"/>
  <c r="F102" i="1"/>
  <c r="E102" i="1"/>
  <c r="D102" i="1"/>
  <c r="G101" i="1"/>
  <c r="F101" i="1"/>
  <c r="E101" i="1"/>
  <c r="D101" i="1"/>
  <c r="G100" i="1"/>
  <c r="F100" i="1"/>
  <c r="E100" i="1"/>
  <c r="D100" i="1"/>
  <c r="G99" i="1"/>
  <c r="F99" i="1"/>
  <c r="E99" i="1"/>
  <c r="D99" i="1"/>
  <c r="G98" i="1"/>
  <c r="F98" i="1"/>
  <c r="E98" i="1"/>
  <c r="D98" i="1"/>
  <c r="G97" i="1"/>
  <c r="F97" i="1"/>
  <c r="E97" i="1"/>
  <c r="D97" i="1"/>
  <c r="G96" i="1"/>
  <c r="F96" i="1"/>
  <c r="E96" i="1"/>
  <c r="D96" i="1"/>
  <c r="G95" i="1"/>
  <c r="F95" i="1"/>
  <c r="E95" i="1"/>
  <c r="D95" i="1"/>
  <c r="G94" i="1"/>
  <c r="F94" i="1"/>
  <c r="E94" i="1"/>
  <c r="D94" i="1"/>
  <c r="G37" i="1"/>
  <c r="G41" i="1"/>
  <c r="E46" i="1"/>
  <c r="E93" i="1"/>
  <c r="G38" i="1"/>
  <c r="G42" i="1"/>
  <c r="F46" i="1"/>
  <c r="F93" i="1"/>
  <c r="G93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3" i="1"/>
  <c r="B43" i="1"/>
  <c r="A41" i="1"/>
  <c r="B41" i="1"/>
  <c r="G39" i="1"/>
  <c r="B37" i="1"/>
  <c r="G33" i="1"/>
  <c r="G35" i="1"/>
  <c r="B31" i="1"/>
  <c r="G28" i="1"/>
  <c r="G24" i="1"/>
  <c r="A4" i="1"/>
</calcChain>
</file>

<file path=xl/sharedStrings.xml><?xml version="1.0" encoding="utf-8"?>
<sst xmlns="http://schemas.openxmlformats.org/spreadsheetml/2006/main" count="191" uniqueCount="155">
  <si>
    <t>AVIDA LAND CORP.</t>
  </si>
  <si>
    <t>CUSTOMER SERVICE UNIT</t>
  </si>
  <si>
    <t>SOLARA PARK STOREYS NUVALI</t>
  </si>
  <si>
    <t>SAMPLE COMPUTATION ONLY</t>
  </si>
  <si>
    <t>Tower</t>
  </si>
  <si>
    <t>Unit</t>
  </si>
  <si>
    <t>Floor</t>
  </si>
  <si>
    <t>Floor Area</t>
  </si>
  <si>
    <t>Model</t>
  </si>
  <si>
    <t>1</t>
  </si>
  <si>
    <t>30</t>
  </si>
  <si>
    <t>7</t>
  </si>
  <si>
    <t>26.50</t>
  </si>
  <si>
    <t>STUDIO W/ BALCONY</t>
  </si>
  <si>
    <t>SELLING PRICE</t>
  </si>
  <si>
    <t>P</t>
  </si>
  <si>
    <t>Less:</t>
  </si>
  <si>
    <t>VAT(if applicable)</t>
  </si>
  <si>
    <t xml:space="preserve">1% Discount </t>
  </si>
  <si>
    <t>Reservation Discount</t>
  </si>
  <si>
    <t>Other RS Discount</t>
  </si>
  <si>
    <t>Commited Sales Discount</t>
  </si>
  <si>
    <t>Booking Sales Discount</t>
  </si>
  <si>
    <t>Other BS Discount</t>
  </si>
  <si>
    <t>Employee Discount</t>
  </si>
  <si>
    <t>Other Discounts</t>
  </si>
  <si>
    <t>Discount 1</t>
  </si>
  <si>
    <t>SELLING PRICE AFTER DISCOUNTS</t>
  </si>
  <si>
    <t>Add:</t>
  </si>
  <si>
    <t>Other Charges</t>
  </si>
  <si>
    <t>Service Fee</t>
  </si>
  <si>
    <t>AC Service Fee</t>
  </si>
  <si>
    <t>TOTAL RECEIVABLE</t>
  </si>
  <si>
    <t>DOWNPAYMENT</t>
  </si>
  <si>
    <t>Total Other Charges &amp; Fees</t>
  </si>
  <si>
    <t>TOTAL REQUIRED DOWNPAYMENT</t>
  </si>
  <si>
    <t>Reservation Fee</t>
  </si>
  <si>
    <t>SCHEDULE OF DOWNPAYMENT AND OTHERS CHARGES</t>
  </si>
  <si>
    <t>Total Spot DP and Other Charges payable on or before:</t>
  </si>
  <si>
    <t>Months Schedule</t>
  </si>
  <si>
    <t>Due Date</t>
  </si>
  <si>
    <t>Monthly Payment</t>
  </si>
  <si>
    <t>Total Monthly Payment</t>
  </si>
  <si>
    <t>1st Downpayment due on</t>
  </si>
  <si>
    <t>2nd Downpayment due on</t>
  </si>
  <si>
    <t>3rd Downpayment due on</t>
  </si>
  <si>
    <t>4th Downpayment due on</t>
  </si>
  <si>
    <t>5th Downpayment due on</t>
  </si>
  <si>
    <t>6th Downpayment due on</t>
  </si>
  <si>
    <t>7th Downpayment due on</t>
  </si>
  <si>
    <t>8th Downpayment due on</t>
  </si>
  <si>
    <t>9th Downpayment due on</t>
  </si>
  <si>
    <t>10th Downpayment due on</t>
  </si>
  <si>
    <t>11th Downpayment due on</t>
  </si>
  <si>
    <t>12th Downpayment due on</t>
  </si>
  <si>
    <t>13th Downpayment due on</t>
  </si>
  <si>
    <t>14th Downpayment due on</t>
  </si>
  <si>
    <t>15th Downpayment due on</t>
  </si>
  <si>
    <t>16th Downpayment due on</t>
  </si>
  <si>
    <t>17th Downpayment due on</t>
  </si>
  <si>
    <t>18th Downpayment due on</t>
  </si>
  <si>
    <t>19th Downpayment due on</t>
  </si>
  <si>
    <t>20th Downpayment due on</t>
  </si>
  <si>
    <t>21st Downpayment due on</t>
  </si>
  <si>
    <t>22nd Downpayment due on</t>
  </si>
  <si>
    <t>23rd Downpayment due on</t>
  </si>
  <si>
    <t>24th Downpayment due on</t>
  </si>
  <si>
    <t>25th Downpayment due on</t>
  </si>
  <si>
    <t>26th Downpayment due on</t>
  </si>
  <si>
    <t>27th Downpayment due on</t>
  </si>
  <si>
    <t>28th Downpayment due on</t>
  </si>
  <si>
    <t>29th Downpayment due on</t>
  </si>
  <si>
    <t>30th Downpayment due on</t>
  </si>
  <si>
    <t>31st Downpayment due on</t>
  </si>
  <si>
    <t>32nd Downpayment due on</t>
  </si>
  <si>
    <t>33rd Downpayment due on</t>
  </si>
  <si>
    <t>34th Downpayment due on</t>
  </si>
  <si>
    <t>35th Downpayment due on</t>
  </si>
  <si>
    <t>36th Downpayment due on</t>
  </si>
  <si>
    <t>37th Downpayment due on</t>
  </si>
  <si>
    <t>38th Downpayment due on</t>
  </si>
  <si>
    <t>39th Downpayment due on</t>
  </si>
  <si>
    <t>40th Downpayment due on</t>
  </si>
  <si>
    <t>41st Downpayment due on</t>
  </si>
  <si>
    <t>42nd Downpayment due on</t>
  </si>
  <si>
    <t>43rd Downpayment due on</t>
  </si>
  <si>
    <t>44th Downpayment due on</t>
  </si>
  <si>
    <t>45th Downpayment due on</t>
  </si>
  <si>
    <t>46th Downpayment due on</t>
  </si>
  <si>
    <t>47th Downpayment due on</t>
  </si>
  <si>
    <t>48th Downpayment due on</t>
  </si>
  <si>
    <t>49th Downpayment due on</t>
  </si>
  <si>
    <t>50th Downpayment due on</t>
  </si>
  <si>
    <t>51st Downpayment due on</t>
  </si>
  <si>
    <t>52nd Downpayment due on</t>
  </si>
  <si>
    <t>53rd Downpayment due on</t>
  </si>
  <si>
    <t>54th Downpayment due on</t>
  </si>
  <si>
    <t>55th Downpayment due on</t>
  </si>
  <si>
    <t>56th Downpayment due on</t>
  </si>
  <si>
    <t>57th Downpayment due on</t>
  </si>
  <si>
    <t>58th Downpayment due on</t>
  </si>
  <si>
    <t>59th Downpayment due on</t>
  </si>
  <si>
    <t>60th Downpayment due on</t>
  </si>
  <si>
    <t>61st Downpayment due on</t>
  </si>
  <si>
    <t>62nd Downpayment due on</t>
  </si>
  <si>
    <t>63rd Downpayment due on</t>
  </si>
  <si>
    <t>64th Downpayment due on</t>
  </si>
  <si>
    <t>65th Downpayment due on</t>
  </si>
  <si>
    <t>66th Downpayment due on</t>
  </si>
  <si>
    <t>PAYMENT SCHEDULE: BALANCE</t>
  </si>
  <si>
    <t>Bank Guarantee must be submitted on or before</t>
  </si>
  <si>
    <t>DUE AND PAYABLE ON</t>
  </si>
  <si>
    <t>(Loanable from a Financing Institution)</t>
  </si>
  <si>
    <t>NOTE:</t>
  </si>
  <si>
    <t>1.   In the event of an increase in Other Charges, AVIDA LAND CORP. has the right to charge the</t>
  </si>
  <si>
    <t xml:space="preserve">      Purchaser as mandated in the CTS &amp; DAS.</t>
  </si>
  <si>
    <t xml:space="preserve">2.   Discounts are conditioned upon the Buyer’s  timely compliance with all his obligations, including </t>
  </si>
  <si>
    <t xml:space="preserve">      payments and transmittal of required documents.</t>
  </si>
  <si>
    <t xml:space="preserve">3.   Delay in any payment is an event of default entitling the Seller to exercise remedial options, which include collection of </t>
  </si>
  <si>
    <t xml:space="preserve">      penalty  at the rate of two percent (2%) of the unpaid amount for every month (or a fraction thereof) of delay as </t>
  </si>
  <si>
    <t xml:space="preserve">      specified under Sec 4(ii) of the RA and Sec 4.2 of the CTS</t>
  </si>
  <si>
    <t xml:space="preserve">4.   For Bank Financing Program, Buyer is required to issue a post-dated check(s) covering the balance lump-sum payment to guarantee the </t>
  </si>
  <si>
    <t xml:space="preserve">      timely issuance of the bank guarantee. Upon Seller’s receipt of the bank guarantee, the relevant lumpsum check(s) shall be returned to </t>
  </si>
  <si>
    <t xml:space="preserve">      the Buyer. If no bank guarantee is receive by the Seller, and unless advised otherwise on or before thirty (30) days before due date, the </t>
  </si>
  <si>
    <t xml:space="preserve">      Buyer is deemed to have opted direct payment on due date, whether by deposit of the relevant post-dated check or auto-debit </t>
  </si>
  <si>
    <t xml:space="preserve">      instructions to his designated bank, without need of demand nor notice.</t>
  </si>
  <si>
    <t>5.   All payments covering the due dates and amounts above should be made payable to AVIDA LAND CORP..</t>
  </si>
  <si>
    <t>Prepared By:</t>
  </si>
  <si>
    <t>Noted By:</t>
  </si>
  <si>
    <t>Signature Over Printed Name</t>
  </si>
  <si>
    <t>Customer Service Staff</t>
  </si>
  <si>
    <t>Customer Service Supervisor / Team Leader</t>
  </si>
  <si>
    <t>Conforme:</t>
  </si>
  <si>
    <t>Purchaser</t>
  </si>
  <si>
    <t>Bank Financing: Estimated Monthly Amortization (Mortgage Registration Charges not included)</t>
  </si>
  <si>
    <t>Principal</t>
  </si>
  <si>
    <t>Total Bank Loanable Amount</t>
  </si>
  <si>
    <t>Term (Years)</t>
  </si>
  <si>
    <t>Interest Rate</t>
  </si>
  <si>
    <t>Factor Rate</t>
  </si>
  <si>
    <t>From</t>
  </si>
  <si>
    <t>To</t>
  </si>
  <si>
    <t>NDI</t>
  </si>
  <si>
    <t>5 Years</t>
  </si>
  <si>
    <t>10 Years</t>
  </si>
  <si>
    <t>15 Years</t>
  </si>
  <si>
    <t>20 Years</t>
  </si>
  <si>
    <t>25 Years</t>
  </si>
  <si>
    <t>In-house Financing: Estimated Monthly Amortization</t>
  </si>
  <si>
    <t>Total Loan Amount</t>
  </si>
  <si>
    <t>Schedules</t>
  </si>
  <si>
    <t>Monthly Amort</t>
  </si>
  <si>
    <t xml:space="preserve">Total </t>
  </si>
  <si>
    <t>Due Dates</t>
  </si>
  <si>
    <t>60th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</si>
</sst>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(\P* #,##0.00_);_(\P* \(#,##0.00\);_(\P* &quot;-&quot;??_);_(@_)"/>
    <numFmt numFmtId="165" formatCode="_(\P* #,##0_);_(\P* \(#,##0\);_(\P* &quot;-&quot;_);_(@_)"/>
    <numFmt numFmtId="166" formatCode="_(\P\ #,##0.00_);_(\P\ \(#,##0.00\);_(\P\ &quot;-&quot;??_);_(@_)"/>
    <numFmt numFmtId="167" formatCode="[$-3409]dd\-mmm\-yy;@"/>
    <numFmt numFmtId="168" formatCode="_-* #,##0.00_-;\-* #,##0.00_-;_-* &quot;-&quot;??_-;_-@_-"/>
    <numFmt numFmtId="169" formatCode="_(* #,##0.0000000_);_(* \(#,##0.0000000\);_(* &quot;-&quot;??_);_(@_)"/>
    <numFmt numFmtId="170" formatCode="_(* #,##0.000000000_);_(* \(#,##0.000000000\);_(* &quot;-&quot;??_);_(@_)"/>
    <numFmt numFmtId="172" formatCode=";;;"/>
    <numFmt numFmtId="175" formatCode="[$-409]dd\-mmm\-yy;@"/>
    <numFmt numFmtId="177" formatCode="_(\P\ * #,##0.00_);_(\P\ * \(#,##0.00\);_(\P\ * &quot;-&quot;??_);_(@_)"/>
  </numFmts>
  <fonts count="15" x14ac:knownFonts="1">
    <font>
      <sz val="10"/>
      <color indexed="8"/>
      <name val="Courier New"/>
      <charset val="134"/>
    </font>
    <font>
      <b/>
      <sz val="10"/>
      <color indexed="8"/>
      <name val="Verdana"/>
      <charset val="134"/>
    </font>
    <font>
      <sz val="10"/>
      <color indexed="8"/>
      <name val="Verdana"/>
      <charset val="134"/>
    </font>
    <font>
      <b/>
      <sz val="12"/>
      <color indexed="8"/>
      <name val="Verdana"/>
      <charset val="134"/>
    </font>
    <font>
      <b/>
      <sz val="11"/>
      <color indexed="8"/>
      <name val="Verdana"/>
      <charset val="134"/>
    </font>
    <font>
      <b/>
      <sz val="20"/>
      <color indexed="8"/>
      <name val="Verdana"/>
      <charset val="134"/>
    </font>
    <font>
      <b/>
      <u/>
      <sz val="10"/>
      <color indexed="8"/>
      <name val="Verdana"/>
      <charset val="134"/>
    </font>
    <font>
      <b/>
      <sz val="10"/>
      <color indexed="9"/>
      <name val="Verdana"/>
      <charset val="134"/>
    </font>
    <font>
      <i/>
      <sz val="10"/>
      <color indexed="8"/>
      <name val="Verdana"/>
      <charset val="134"/>
    </font>
    <font>
      <b/>
      <sz val="8"/>
      <color indexed="8"/>
      <name val="Verdana"/>
      <charset val="134"/>
    </font>
    <font>
      <sz val="8"/>
      <color indexed="8"/>
      <name val="Verdana"/>
      <charset val="134"/>
    </font>
    <font>
      <sz val="10"/>
      <color indexed="9"/>
      <name val="Verdana"/>
      <charset val="134"/>
    </font>
    <font>
      <b/>
      <sz val="10"/>
      <color rgb="FFFF0000"/>
      <name val="Verdana"/>
      <charset val="134"/>
    </font>
    <font>
      <b/>
      <sz val="9"/>
      <color indexed="8"/>
      <name val="Verdana"/>
      <charset val="134"/>
    </font>
    <font>
      <sz val="9"/>
      <color indexed="8"/>
      <name val="Verdana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172" fontId="2" fillId="0" borderId="4" xfId="0" applyNumberFormat="1" applyFont="1" applyBorder="1"/>
    <xf numFmtId="0" fontId="2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0" fontId="2" fillId="0" borderId="8" xfId="0" applyNumberFormat="1" applyFont="1" applyBorder="1"/>
    <xf numFmtId="10" fontId="2" fillId="0" borderId="0" xfId="0" applyNumberFormat="1" applyFont="1"/>
    <xf numFmtId="0" fontId="1" fillId="0" borderId="9" xfId="0" applyFont="1" applyBorder="1" applyAlignment="1">
      <alignment horizontal="center"/>
    </xf>
    <xf numFmtId="0" fontId="2" fillId="0" borderId="9" xfId="0" applyFont="1" applyBorder="1"/>
    <xf numFmtId="10" fontId="2" fillId="0" borderId="9" xfId="0" applyNumberFormat="1" applyFont="1" applyBorder="1"/>
    <xf numFmtId="169" fontId="2" fillId="0" borderId="9" xfId="0" applyNumberFormat="1" applyFont="1" applyBorder="1"/>
    <xf numFmtId="175" fontId="2" fillId="0" borderId="9" xfId="0" applyNumberFormat="1" applyFont="1" applyBorder="1" applyAlignment="1">
      <alignment horizontal="center"/>
    </xf>
    <xf numFmtId="0" fontId="6" fillId="0" borderId="0" xfId="0" applyFont="1"/>
    <xf numFmtId="169" fontId="2" fillId="0" borderId="0" xfId="0" applyNumberFormat="1" applyFont="1"/>
    <xf numFmtId="0" fontId="7" fillId="0" borderId="10" xfId="0" applyFont="1" applyBorder="1"/>
    <xf numFmtId="0" fontId="2" fillId="0" borderId="8" xfId="0" applyFont="1" applyBorder="1"/>
    <xf numFmtId="169" fontId="2" fillId="0" borderId="8" xfId="0" applyNumberFormat="1" applyFont="1" applyBorder="1"/>
    <xf numFmtId="0" fontId="7" fillId="0" borderId="11" xfId="0" applyFont="1" applyBorder="1"/>
    <xf numFmtId="10" fontId="1" fillId="0" borderId="0" xfId="0" applyNumberFormat="1" applyFont="1"/>
    <xf numFmtId="9" fontId="7" fillId="0" borderId="11" xfId="0" applyNumberFormat="1" applyFont="1" applyBorder="1"/>
    <xf numFmtId="43" fontId="8" fillId="0" borderId="0" xfId="0" applyNumberFormat="1" applyFont="1"/>
    <xf numFmtId="43" fontId="2" fillId="0" borderId="9" xfId="0" applyNumberFormat="1" applyFont="1" applyBorder="1" applyAlignment="1">
      <alignment horizontal="center" vertical="center" wrapText="1"/>
    </xf>
    <xf numFmtId="43" fontId="2" fillId="0" borderId="9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14" fontId="11" fillId="0" borderId="0" xfId="0" applyNumberFormat="1" applyFont="1"/>
    <xf numFmtId="43" fontId="2" fillId="0" borderId="0" xfId="0" applyNumberFormat="1" applyFont="1" applyAlignment="1">
      <alignment horizontal="left"/>
    </xf>
    <xf numFmtId="175" fontId="2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right"/>
    </xf>
    <xf numFmtId="43" fontId="1" fillId="0" borderId="0" xfId="0" applyNumberFormat="1" applyFont="1"/>
    <xf numFmtId="43" fontId="1" fillId="0" borderId="9" xfId="0" applyNumberFormat="1" applyFont="1" applyBorder="1"/>
    <xf numFmtId="43" fontId="8" fillId="0" borderId="9" xfId="0" applyNumberFormat="1" applyFont="1" applyBorder="1"/>
    <xf numFmtId="168" fontId="2" fillId="0" borderId="0" xfId="0" applyNumberFormat="1" applyFont="1"/>
    <xf numFmtId="175" fontId="2" fillId="0" borderId="8" xfId="0" applyNumberFormat="1" applyFont="1" applyBorder="1" applyAlignment="1">
      <alignment horizontal="center"/>
    </xf>
    <xf numFmtId="43" fontId="2" fillId="0" borderId="12" xfId="0" applyNumberFormat="1" applyFont="1" applyBorder="1"/>
    <xf numFmtId="43" fontId="2" fillId="0" borderId="22" xfId="0" applyNumberFormat="1" applyFont="1" applyBorder="1"/>
    <xf numFmtId="43" fontId="1" fillId="0" borderId="22" xfId="0" applyNumberFormat="1" applyFont="1" applyBorder="1"/>
    <xf numFmtId="43" fontId="2" fillId="0" borderId="0" xfId="0" applyNumberFormat="1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43" fontId="1" fillId="0" borderId="9" xfId="0" applyNumberFormat="1" applyFont="1" applyBorder="1" applyAlignment="1">
      <alignment horizontal="center" vertical="center"/>
    </xf>
    <xf numFmtId="167" fontId="2" fillId="0" borderId="9" xfId="0" applyNumberFormat="1" applyFont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 wrapText="1"/>
    </xf>
    <xf numFmtId="0" fontId="2" fillId="3" borderId="0" xfId="0" applyFont="1" applyFill="1"/>
    <xf numFmtId="0" fontId="4" fillId="0" borderId="5" xfId="0" applyFont="1" applyBorder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0" xfId="0" applyFont="1" applyAlignment="1">
      <alignment horizontal="left"/>
    </xf>
    <xf numFmtId="172" fontId="2" fillId="0" borderId="0" xfId="0" applyNumberFormat="1" applyFont="1"/>
    <xf numFmtId="0" fontId="12" fillId="0" borderId="0" xfId="0" applyFont="1"/>
    <xf numFmtId="172" fontId="2" fillId="2" borderId="0" xfId="0" applyNumberFormat="1" applyFont="1" applyFill="1"/>
    <xf numFmtId="172" fontId="1" fillId="0" borderId="0" xfId="0" applyNumberFormat="1" applyFont="1"/>
    <xf numFmtId="0" fontId="2" fillId="4" borderId="0" xfId="0" applyFont="1" applyFill="1"/>
    <xf numFmtId="0" fontId="9" fillId="4" borderId="0" xfId="0" applyFont="1" applyFill="1"/>
    <xf numFmtId="0" fontId="13" fillId="0" borderId="0" xfId="0" applyFont="1"/>
    <xf numFmtId="0" fontId="14" fillId="0" borderId="0" xfId="0" applyFont="1"/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2" fontId="11" fillId="0" borderId="0" xfId="0" applyNumberFormat="1" applyFont="1"/>
    <xf numFmtId="0" fontId="1" fillId="2" borderId="0" xfId="0" applyFont="1" applyFill="1" applyAlignment="1">
      <alignment horizontal="right"/>
    </xf>
    <xf numFmtId="43" fontId="1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43" fontId="2" fillId="0" borderId="0" xfId="0" applyNumberFormat="1" applyFont="1" applyAlignment="1">
      <alignment horizontal="right"/>
    </xf>
    <xf numFmtId="43" fontId="2" fillId="0" borderId="0" xfId="0" applyNumberFormat="1" applyFont="1"/>
    <xf numFmtId="43" fontId="12" fillId="0" borderId="0" xfId="0" applyNumberFormat="1" applyFont="1"/>
    <xf numFmtId="43" fontId="1" fillId="2" borderId="2" xfId="0" applyNumberFormat="1" applyFont="1" applyFill="1" applyBorder="1"/>
    <xf numFmtId="167" fontId="2" fillId="4" borderId="0" xfId="0" applyNumberFormat="1" applyFont="1" applyFill="1" applyAlignment="1">
      <alignment horizontal="center"/>
    </xf>
    <xf numFmtId="43" fontId="2" fillId="4" borderId="0" xfId="0" applyNumberFormat="1" applyFont="1" applyFill="1"/>
    <xf numFmtId="167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right"/>
    </xf>
    <xf numFmtId="167" fontId="2" fillId="0" borderId="0" xfId="0" applyNumberFormat="1" applyFont="1" applyAlignment="1">
      <alignment horizontal="center"/>
    </xf>
    <xf numFmtId="0" fontId="2" fillId="4" borderId="0" xfId="0" applyFont="1" applyFill="1" applyAlignment="1">
      <alignment horizontal="right"/>
    </xf>
    <xf numFmtId="166" fontId="1" fillId="4" borderId="2" xfId="0" applyNumberFormat="1" applyFont="1" applyFill="1" applyBorder="1"/>
    <xf numFmtId="165" fontId="1" fillId="0" borderId="0" xfId="0" applyNumberFormat="1" applyFont="1"/>
    <xf numFmtId="166" fontId="1" fillId="0" borderId="2" xfId="0" applyNumberFormat="1" applyFont="1" applyBorder="1"/>
    <xf numFmtId="0" fontId="9" fillId="0" borderId="0" xfId="0" applyFont="1" applyAlignment="1">
      <alignment horizontal="center" vertical="center" wrapText="1"/>
    </xf>
    <xf numFmtId="167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70" fontId="2" fillId="0" borderId="0" xfId="0" applyNumberFormat="1" applyFont="1"/>
    <xf numFmtId="0" fontId="9" fillId="0" borderId="25" xfId="0" applyFont="1" applyBorder="1" applyAlignment="1">
      <alignment horizontal="left"/>
    </xf>
    <xf numFmtId="164" fontId="1" fillId="0" borderId="0" xfId="0" applyNumberFormat="1" applyFont="1" applyAlignment="1">
      <alignment horizontal="right"/>
    </xf>
    <xf numFmtId="0" fontId="9" fillId="0" borderId="27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right" indent="2"/>
    </xf>
    <xf numFmtId="0" fontId="10" fillId="0" borderId="0" xfId="0" applyFont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b/>
        <i val="0"/>
        <strike val="0"/>
        <color indexed="10"/>
      </font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6969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49"/>
  <sheetViews>
    <sheetView tabSelected="1" workbookViewId="0">
      <selection activeCell="E44" sqref="E44"/>
    </sheetView>
  </sheetViews>
  <sheetFormatPr defaultColWidth="12.37109375" defaultRowHeight="12.75" customHeight="1" x14ac:dyDescent="0.15"/>
  <cols>
    <col min="1" max="4" width="12.37109375" style="2"/>
    <col min="5" max="6" width="14.62109375" style="2" customWidth="1"/>
    <col min="7" max="7" width="17.62109375" style="2" customWidth="1"/>
    <col min="8" max="9" width="14.99609375" style="2" customWidth="1"/>
    <col min="10" max="10" width="14.12109375" style="2" customWidth="1"/>
    <col min="11" max="16384" width="12.37109375" style="2"/>
  </cols>
  <sheetData>
    <row r="1" spans="1:256" ht="14.25" customHeight="1" x14ac:dyDescent="0.15">
      <c r="A1" s="3"/>
      <c r="B1" s="95" t="s">
        <v>0</v>
      </c>
      <c r="C1" s="95"/>
      <c r="D1" s="95"/>
      <c r="E1" s="95"/>
      <c r="F1" s="95"/>
      <c r="G1" s="34"/>
    </row>
    <row r="2" spans="1:256" ht="14.25" customHeight="1" x14ac:dyDescent="0.15">
      <c r="A2" s="4"/>
      <c r="B2" s="96" t="s">
        <v>1</v>
      </c>
      <c r="C2" s="96"/>
      <c r="D2" s="96"/>
      <c r="E2" s="96"/>
      <c r="F2" s="96"/>
      <c r="G2" s="35"/>
    </row>
    <row r="3" spans="1:256" customFormat="1" ht="30" customHeight="1" x14ac:dyDescent="0.2">
      <c r="A3" s="97" t="s">
        <v>2</v>
      </c>
      <c r="B3" s="98"/>
      <c r="C3" s="98"/>
      <c r="D3" s="98"/>
      <c r="E3" s="98"/>
      <c r="F3" s="98"/>
      <c r="G3" s="9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ht="15" customHeight="1" x14ac:dyDescent="0.15">
      <c r="A4" s="5">
        <f>IF(A45&lt;=12,12,A45)</f>
        <v>48</v>
      </c>
      <c r="B4" s="6"/>
      <c r="C4" s="6"/>
      <c r="D4" s="55" t="s">
        <v>3</v>
      </c>
      <c r="E4" s="6"/>
      <c r="F4" s="6"/>
      <c r="G4" s="36"/>
    </row>
    <row r="5" spans="1:256" ht="13.5" customHeight="1" x14ac:dyDescent="0.15">
      <c r="G5" s="71">
        <v>36</v>
      </c>
    </row>
    <row r="6" spans="1:256" ht="15" customHeight="1" x14ac:dyDescent="0.15">
      <c r="A6" s="8" t="s">
        <v>4</v>
      </c>
      <c r="B6" s="8" t="s">
        <v>5</v>
      </c>
      <c r="C6" s="8" t="s">
        <v>6</v>
      </c>
      <c r="D6" s="8" t="s">
        <v>7</v>
      </c>
      <c r="E6" s="8"/>
      <c r="F6" s="100" t="s">
        <v>8</v>
      </c>
      <c r="G6" s="100"/>
    </row>
    <row r="7" spans="1:256" customFormat="1" ht="13.5" x14ac:dyDescent="0.2">
      <c r="A7" s="9" t="s">
        <v>9</v>
      </c>
      <c r="B7" s="9" t="s">
        <v>10</v>
      </c>
      <c r="C7" s="9" t="s">
        <v>11</v>
      </c>
      <c r="D7" s="9" t="s">
        <v>12</v>
      </c>
      <c r="E7" s="9"/>
      <c r="F7" s="101" t="s">
        <v>13</v>
      </c>
      <c r="G7" s="10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10" spans="1:256" customFormat="1" ht="12.6" customHeight="1" x14ac:dyDescent="0.2">
      <c r="A10" s="56" t="s">
        <v>14</v>
      </c>
      <c r="B10" s="56"/>
      <c r="C10" s="57"/>
      <c r="D10" s="58"/>
      <c r="E10" s="58"/>
      <c r="F10" s="72" t="s">
        <v>15</v>
      </c>
      <c r="G10" s="73">
        <v>5232000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15">
      <c r="A11" s="2" t="s">
        <v>16</v>
      </c>
      <c r="B11" s="2" t="s">
        <v>17</v>
      </c>
      <c r="C11" s="59"/>
      <c r="F11" s="74"/>
      <c r="G11" s="75">
        <f>ROUND(IF(ISERROR(FIND("PARKING",Model,1)),IF(SellingPrice&gt;2000000,(G10-(G10/1.12)),0),(G10-(G10/1.12))),2)</f>
        <v>560571.43000000005</v>
      </c>
    </row>
    <row r="12" spans="1:256" x14ac:dyDescent="0.15">
      <c r="A12" s="60"/>
      <c r="B12" s="2" t="s">
        <v>18</v>
      </c>
      <c r="F12" s="74"/>
      <c r="G12" s="76">
        <f>SellingPrice/1.12*1%</f>
        <v>46714.28571428571</v>
      </c>
      <c r="I12" s="76"/>
      <c r="J12" s="76"/>
    </row>
    <row r="13" spans="1:256" hidden="1" x14ac:dyDescent="0.15">
      <c r="B13" s="2" t="s">
        <v>19</v>
      </c>
      <c r="G13" s="76">
        <v>0</v>
      </c>
      <c r="I13" s="76"/>
      <c r="J13" s="76"/>
    </row>
    <row r="14" spans="1:256" hidden="1" x14ac:dyDescent="0.15">
      <c r="B14" s="2" t="s">
        <v>20</v>
      </c>
      <c r="G14" s="76">
        <v>0</v>
      </c>
      <c r="I14" s="76"/>
      <c r="J14" s="76"/>
    </row>
    <row r="15" spans="1:256" hidden="1" x14ac:dyDescent="0.15">
      <c r="B15" s="2" t="s">
        <v>21</v>
      </c>
      <c r="G15" s="76">
        <v>0</v>
      </c>
      <c r="I15" s="76"/>
    </row>
    <row r="16" spans="1:256" hidden="1" x14ac:dyDescent="0.15">
      <c r="B16" s="2" t="s">
        <v>22</v>
      </c>
      <c r="G16" s="76"/>
      <c r="I16" s="76"/>
    </row>
    <row r="17" spans="1:10" x14ac:dyDescent="0.15">
      <c r="A17" s="61"/>
      <c r="B17" s="61"/>
      <c r="C17" s="61"/>
      <c r="D17" s="61"/>
      <c r="E17" s="61"/>
      <c r="F17" s="61"/>
      <c r="G17" s="77"/>
      <c r="H17" s="77"/>
      <c r="I17" s="61"/>
    </row>
    <row r="18" spans="1:10" hidden="1" x14ac:dyDescent="0.15">
      <c r="B18" s="2" t="s">
        <v>23</v>
      </c>
      <c r="G18" s="76">
        <v>0</v>
      </c>
      <c r="I18" s="76"/>
    </row>
    <row r="19" spans="1:10" hidden="1" x14ac:dyDescent="0.15">
      <c r="B19" s="2" t="s">
        <v>24</v>
      </c>
      <c r="G19" s="76">
        <v>0</v>
      </c>
      <c r="H19" s="76"/>
      <c r="I19" s="76"/>
      <c r="J19" s="76"/>
    </row>
    <row r="20" spans="1:10" hidden="1" x14ac:dyDescent="0.15">
      <c r="B20" s="2" t="s">
        <v>25</v>
      </c>
      <c r="G20" s="76">
        <v>0</v>
      </c>
      <c r="J20" s="76"/>
    </row>
    <row r="21" spans="1:10" hidden="1" x14ac:dyDescent="0.15">
      <c r="B21" s="2" t="s">
        <v>26</v>
      </c>
      <c r="G21" s="76">
        <v>0</v>
      </c>
      <c r="J21" s="76"/>
    </row>
    <row r="22" spans="1:10" ht="13.5" customHeight="1" x14ac:dyDescent="0.15">
      <c r="A22" s="56" t="s">
        <v>27</v>
      </c>
      <c r="B22" s="62"/>
      <c r="C22" s="58"/>
      <c r="D22" s="58"/>
      <c r="E22" s="58"/>
      <c r="F22" s="72" t="s">
        <v>15</v>
      </c>
      <c r="G22" s="78">
        <f>SellingPrice-G11-StandardDiscount-G16</f>
        <v>4624714.2842857148</v>
      </c>
    </row>
    <row r="23" spans="1:10" x14ac:dyDescent="0.15">
      <c r="A23" s="2" t="s">
        <v>28</v>
      </c>
      <c r="B23" s="2" t="s">
        <v>17</v>
      </c>
      <c r="G23" s="76">
        <f>ROUND(IF(ISERROR(FIND("PARKING",Model,1)),IF(G22&gt;2000000,G22*12%,0),G22*12%),2)</f>
        <v>554965.71</v>
      </c>
      <c r="I23" s="76"/>
    </row>
    <row r="24" spans="1:10" hidden="1" x14ac:dyDescent="0.15">
      <c r="A24" s="60">
        <v>7</v>
      </c>
      <c r="B24" s="2" t="s">
        <v>29</v>
      </c>
      <c r="G24" s="76">
        <f>ROUND(G22*(A24/100),2)</f>
        <v>323730</v>
      </c>
    </row>
    <row r="25" spans="1:10" hidden="1" x14ac:dyDescent="0.15">
      <c r="A25" s="60"/>
      <c r="B25" s="2" t="s">
        <v>30</v>
      </c>
      <c r="F25" s="60">
        <f>IF(G25&gt;50000,50000,G25)</f>
        <v>0</v>
      </c>
      <c r="G25" s="76">
        <v>0</v>
      </c>
    </row>
    <row r="26" spans="1:10" hidden="1" x14ac:dyDescent="0.15">
      <c r="A26" s="60"/>
      <c r="B26" s="2" t="s">
        <v>31</v>
      </c>
      <c r="G26" s="76">
        <v>0</v>
      </c>
    </row>
    <row r="27" spans="1:10" ht="13.5" customHeight="1" x14ac:dyDescent="0.15">
      <c r="A27" s="60"/>
      <c r="B27" s="2" t="s">
        <v>29</v>
      </c>
      <c r="G27" s="76">
        <f>G22*7%</f>
        <v>323729.99990000005</v>
      </c>
    </row>
    <row r="28" spans="1:10" ht="13.5" customHeight="1" x14ac:dyDescent="0.15">
      <c r="A28" s="56" t="s">
        <v>32</v>
      </c>
      <c r="B28" s="58"/>
      <c r="C28" s="58"/>
      <c r="D28" s="58"/>
      <c r="E28" s="58"/>
      <c r="F28" s="72" t="s">
        <v>15</v>
      </c>
      <c r="G28" s="78">
        <f>G22+SUM(G23,G27)</f>
        <v>5503409.994185715</v>
      </c>
    </row>
    <row r="29" spans="1:10" x14ac:dyDescent="0.15"/>
    <row r="30" spans="1:10" x14ac:dyDescent="0.15">
      <c r="A30" s="1" t="s">
        <v>33</v>
      </c>
    </row>
    <row r="31" spans="1:10" x14ac:dyDescent="0.15">
      <c r="A31" s="63">
        <v>20</v>
      </c>
      <c r="B31" s="2" t="str">
        <f>CONCATENATE("Downpayment ("&amp;A31&amp;"% of Selling Price)")</f>
        <v>Downpayment (20% of Selling Price)</v>
      </c>
      <c r="G31" s="76">
        <f>ROUND((G22+G23)*(A31/100),2)</f>
        <v>1035936</v>
      </c>
    </row>
    <row r="32" spans="1:10" ht="13.5" customHeight="1" x14ac:dyDescent="0.15">
      <c r="A32" s="1"/>
      <c r="B32" s="2" t="s">
        <v>34</v>
      </c>
      <c r="G32" s="76">
        <f>ROUND(G27*(A31/100),2)</f>
        <v>64746</v>
      </c>
    </row>
    <row r="33" spans="1:10" ht="13.5" customHeight="1" x14ac:dyDescent="0.15">
      <c r="A33" s="56" t="s">
        <v>35</v>
      </c>
      <c r="B33" s="58"/>
      <c r="C33" s="58"/>
      <c r="D33" s="58"/>
      <c r="E33" s="58"/>
      <c r="F33" s="72" t="s">
        <v>15</v>
      </c>
      <c r="G33" s="78">
        <f>SUM(G31:G32)</f>
        <v>1100682</v>
      </c>
    </row>
    <row r="34" spans="1:10" ht="13.5" customHeight="1" x14ac:dyDescent="0.15">
      <c r="A34" s="64" t="s">
        <v>16</v>
      </c>
      <c r="B34" s="64" t="s">
        <v>36</v>
      </c>
      <c r="C34" s="64"/>
      <c r="D34" s="64"/>
      <c r="E34" s="64"/>
      <c r="F34" s="79">
        <f ca="1">TODAY()</f>
        <v>45200</v>
      </c>
      <c r="G34" s="80">
        <v>20000</v>
      </c>
    </row>
    <row r="35" spans="1:10" ht="13.5" customHeight="1" x14ac:dyDescent="0.15">
      <c r="A35" s="56" t="s">
        <v>37</v>
      </c>
      <c r="B35" s="58"/>
      <c r="C35" s="58"/>
      <c r="D35" s="58"/>
      <c r="E35" s="81"/>
      <c r="F35" s="72" t="s">
        <v>15</v>
      </c>
      <c r="G35" s="78">
        <f>G33-G34</f>
        <v>1080682</v>
      </c>
    </row>
    <row r="36" spans="1:10" x14ac:dyDescent="0.15"/>
    <row r="37" spans="1:10" x14ac:dyDescent="0.15">
      <c r="A37" s="60">
        <v>10</v>
      </c>
      <c r="B37" s="2" t="str">
        <f>CONCATENATE("Spot Downpayment ("&amp;A37&amp;"% of Selling Price)")</f>
        <v>Spot Downpayment (10% of Selling Price)</v>
      </c>
      <c r="E37" s="82"/>
      <c r="F37" s="83"/>
      <c r="G37" s="76">
        <f>ROUND((SUM(G22:G23)*(A37/100))-G34,2)</f>
        <v>497968</v>
      </c>
      <c r="H37" s="76"/>
      <c r="I37" s="76"/>
      <c r="J37" s="91"/>
    </row>
    <row r="38" spans="1:10" ht="13.5" customHeight="1" x14ac:dyDescent="0.15">
      <c r="B38" s="2" t="s">
        <v>29</v>
      </c>
      <c r="E38" s="82"/>
      <c r="F38" s="83"/>
      <c r="G38" s="76">
        <f>ROUND(G27*(A37/100),2)</f>
        <v>32373</v>
      </c>
      <c r="J38" s="76"/>
    </row>
    <row r="39" spans="1:10" ht="13.5" customHeight="1" x14ac:dyDescent="0.15">
      <c r="B39" s="65" t="s">
        <v>38</v>
      </c>
      <c r="C39" s="64"/>
      <c r="D39" s="64"/>
      <c r="E39" s="84"/>
      <c r="F39" s="79">
        <f ca="1">ReservationDate+10</f>
        <v>45210</v>
      </c>
      <c r="G39" s="85">
        <f>SUM(G37:G38)</f>
        <v>530341</v>
      </c>
    </row>
    <row r="40" spans="1:10" x14ac:dyDescent="0.15">
      <c r="B40" s="66"/>
      <c r="E40" s="82"/>
      <c r="F40" s="83"/>
      <c r="G40" s="86"/>
    </row>
    <row r="41" spans="1:10" x14ac:dyDescent="0.15">
      <c r="A41" s="60">
        <f>A31-A37</f>
        <v>10</v>
      </c>
      <c r="B41" s="67" t="str">
        <f>CONCATENATE("Streched Downpayment ("&amp;A41&amp;"% of Selling Price)")</f>
        <v>Streched Downpayment (10% of Selling Price)</v>
      </c>
      <c r="E41" s="82"/>
      <c r="F41" s="83"/>
      <c r="G41" s="76">
        <f>G31-G37-ReservationFee</f>
        <v>517968</v>
      </c>
    </row>
    <row r="42" spans="1:10" ht="13.5" customHeight="1" x14ac:dyDescent="0.15">
      <c r="B42" s="67" t="s">
        <v>29</v>
      </c>
      <c r="E42" s="82"/>
      <c r="F42" s="83"/>
      <c r="G42" s="76">
        <f>SUM(G32:G32)-G38</f>
        <v>32373</v>
      </c>
    </row>
    <row r="43" spans="1:10" ht="13.5" customHeight="1" x14ac:dyDescent="0.15">
      <c r="B43" s="29" t="str">
        <f>CONCATENATE("Total Streched DP and Other Charges payable in "&amp;A45&amp;" months")</f>
        <v>Total Streched DP and Other Charges payable in 48 months</v>
      </c>
      <c r="E43" s="82"/>
      <c r="F43" s="83"/>
      <c r="G43" s="87">
        <f>SUM(G41:G42)</f>
        <v>550341</v>
      </c>
    </row>
    <row r="44" spans="1:10" x14ac:dyDescent="0.15">
      <c r="B44" s="67"/>
      <c r="E44" s="82"/>
      <c r="F44" s="83"/>
      <c r="G44" s="86"/>
    </row>
    <row r="45" spans="1:10" ht="25.5" customHeight="1" x14ac:dyDescent="0.15">
      <c r="A45" s="68">
        <v>48</v>
      </c>
      <c r="B45" s="102" t="s">
        <v>39</v>
      </c>
      <c r="C45" s="102"/>
      <c r="D45" s="69" t="s">
        <v>40</v>
      </c>
      <c r="E45" s="88" t="s">
        <v>41</v>
      </c>
      <c r="F45" s="89" t="s">
        <v>29</v>
      </c>
      <c r="G45" s="90" t="s">
        <v>42</v>
      </c>
    </row>
    <row r="46" spans="1:10" x14ac:dyDescent="0.15">
      <c r="A46" s="103" t="s">
        <v>43</v>
      </c>
      <c r="B46" s="103"/>
      <c r="C46" s="103"/>
      <c r="D46" s="70">
        <f ca="1">IF(AND(DAY(F39)&gt;2,DAY(F39)&lt;19),DATE(YEAR(F39+30),MONTH(F39+30),DAY(17)),DATE(YEAR(F39+30),IF(DAY(F39)&gt;18,MONTH(F39+30)+1,MONTH(F39+30)),DAY(2)))</f>
        <v>45247</v>
      </c>
      <c r="E46" s="75">
        <f>ROUND(G41/A45,2)</f>
        <v>10791</v>
      </c>
      <c r="F46" s="49">
        <f>ROUND(G42/A45,2)</f>
        <v>674.44</v>
      </c>
      <c r="G46" s="76">
        <f>SUM(E46:F46)</f>
        <v>11465.44</v>
      </c>
    </row>
    <row r="47" spans="1:10" x14ac:dyDescent="0.15">
      <c r="A47" s="103" t="s">
        <v>44</v>
      </c>
      <c r="B47" s="103"/>
      <c r="C47" s="103"/>
      <c r="D47" s="70">
        <f ca="1">IF($A$45&lt;VALUE(LEFT(A47,1))," ",DATE(YEAR(D46+30),MONTH(D46+30),DAY(D46)))</f>
        <v>45277</v>
      </c>
      <c r="E47" s="75">
        <f>IF($A$45&lt;VALUE(LEFT(A47,1))," ",IF($A$45=VALUE(LEFT(A47,1)),$G$41-($E$46*($A$45-1)),E46))</f>
        <v>10791</v>
      </c>
      <c r="F47" s="49">
        <f>IF($A$45&lt;VALUE(LEFT(A47,1))," ",IF($A$45=VALUE(LEFT(A47,1)),$G$42-($F$46*($A$45-1)),F46))</f>
        <v>674.44</v>
      </c>
      <c r="G47" s="76">
        <f>IF($A$45&lt;VALUE(LEFT(A47,1))," ",SUM(E47:F47))</f>
        <v>11465.44</v>
      </c>
    </row>
    <row r="48" spans="1:10" x14ac:dyDescent="0.15">
      <c r="A48" s="103" t="s">
        <v>45</v>
      </c>
      <c r="B48" s="103"/>
      <c r="C48" s="103"/>
      <c r="D48" s="70">
        <f ca="1">IF($A$45&lt;VALUE(LEFT(A48,1))," ",DATE(YEAR(D47+30),MONTH(D47+30),DAY(D47)))</f>
        <v>45308</v>
      </c>
      <c r="E48" s="75">
        <f t="shared" ref="E48:E54" si="0">IF($A$45&lt;VALUE(LEFT(A48,1))," ",IF($A$45=VALUE(LEFT(A48,1)),$G$41-($E$46*($A$45-1)),E47))</f>
        <v>10791</v>
      </c>
      <c r="F48" s="49">
        <f t="shared" ref="F48:F54" si="1">IF($A$45&lt;VALUE(LEFT(A48,1))," ",IF($A$45=VALUE(LEFT(A48,1)),$G$42-($F$46*($A$45-1)),F47))</f>
        <v>674.44</v>
      </c>
      <c r="G48" s="76">
        <f t="shared" ref="G48:G54" si="2">IF($A$45&lt;VALUE(LEFT(A48,1))," ",SUM(E48:F48))</f>
        <v>11465.44</v>
      </c>
    </row>
    <row r="49" spans="1:7" x14ac:dyDescent="0.15">
      <c r="A49" s="103" t="s">
        <v>46</v>
      </c>
      <c r="B49" s="103"/>
      <c r="C49" s="103"/>
      <c r="D49" s="70">
        <f t="shared" ref="D49:D54" ca="1" si="3">IF($A$45&lt;VALUE(LEFT(A49,1))," ",DATE(YEAR(D48+30),MONTH(D48+30),DAY(D48)))</f>
        <v>45339</v>
      </c>
      <c r="E49" s="75">
        <f t="shared" si="0"/>
        <v>10791</v>
      </c>
      <c r="F49" s="49">
        <f t="shared" si="1"/>
        <v>674.44</v>
      </c>
      <c r="G49" s="76">
        <f t="shared" si="2"/>
        <v>11465.44</v>
      </c>
    </row>
    <row r="50" spans="1:7" x14ac:dyDescent="0.15">
      <c r="A50" s="103" t="s">
        <v>47</v>
      </c>
      <c r="B50" s="103"/>
      <c r="C50" s="103"/>
      <c r="D50" s="70">
        <f t="shared" ca="1" si="3"/>
        <v>45368</v>
      </c>
      <c r="E50" s="75">
        <f t="shared" si="0"/>
        <v>10791</v>
      </c>
      <c r="F50" s="49">
        <f t="shared" si="1"/>
        <v>674.44</v>
      </c>
      <c r="G50" s="76">
        <f t="shared" si="2"/>
        <v>11465.44</v>
      </c>
    </row>
    <row r="51" spans="1:7" x14ac:dyDescent="0.15">
      <c r="A51" s="103" t="s">
        <v>48</v>
      </c>
      <c r="B51" s="103"/>
      <c r="C51" s="103"/>
      <c r="D51" s="70">
        <f t="shared" ca="1" si="3"/>
        <v>45399</v>
      </c>
      <c r="E51" s="75">
        <f t="shared" si="0"/>
        <v>10791</v>
      </c>
      <c r="F51" s="49">
        <f t="shared" si="1"/>
        <v>674.44</v>
      </c>
      <c r="G51" s="76">
        <f t="shared" si="2"/>
        <v>11465.44</v>
      </c>
    </row>
    <row r="52" spans="1:7" x14ac:dyDescent="0.15">
      <c r="A52" s="103" t="s">
        <v>49</v>
      </c>
      <c r="B52" s="103"/>
      <c r="C52" s="103"/>
      <c r="D52" s="70">
        <f t="shared" ca="1" si="3"/>
        <v>45429</v>
      </c>
      <c r="E52" s="75">
        <f t="shared" si="0"/>
        <v>10791</v>
      </c>
      <c r="F52" s="49">
        <f t="shared" si="1"/>
        <v>674.44</v>
      </c>
      <c r="G52" s="76">
        <f t="shared" si="2"/>
        <v>11465.44</v>
      </c>
    </row>
    <row r="53" spans="1:7" x14ac:dyDescent="0.15">
      <c r="A53" s="103" t="s">
        <v>50</v>
      </c>
      <c r="B53" s="103"/>
      <c r="C53" s="103"/>
      <c r="D53" s="70">
        <f t="shared" ca="1" si="3"/>
        <v>45460</v>
      </c>
      <c r="E53" s="75">
        <f t="shared" si="0"/>
        <v>10791</v>
      </c>
      <c r="F53" s="49">
        <f t="shared" si="1"/>
        <v>674.44</v>
      </c>
      <c r="G53" s="76">
        <f t="shared" si="2"/>
        <v>11465.44</v>
      </c>
    </row>
    <row r="54" spans="1:7" x14ac:dyDescent="0.15">
      <c r="A54" s="103" t="s">
        <v>51</v>
      </c>
      <c r="B54" s="103"/>
      <c r="C54" s="103"/>
      <c r="D54" s="70">
        <f t="shared" ca="1" si="3"/>
        <v>45490</v>
      </c>
      <c r="E54" s="75">
        <f t="shared" si="0"/>
        <v>10791</v>
      </c>
      <c r="F54" s="49">
        <f t="shared" si="1"/>
        <v>674.44</v>
      </c>
      <c r="G54" s="76">
        <f t="shared" si="2"/>
        <v>11465.44</v>
      </c>
    </row>
    <row r="55" spans="1:7" x14ac:dyDescent="0.15">
      <c r="A55" s="103" t="s">
        <v>52</v>
      </c>
      <c r="B55" s="103"/>
      <c r="C55" s="103"/>
      <c r="D55" s="70">
        <f t="shared" ref="D55:D69" ca="1" si="4">IF($A$45&lt;VALUE(LEFT(A55,2))," ",DATE(YEAR(D54+30),MONTH(D54+30),DAY(D54)))</f>
        <v>45521</v>
      </c>
      <c r="E55" s="75">
        <f t="shared" ref="E55:E69" si="5">IF($A$45&lt;VALUE(LEFT(A55,2))," ",IF($A$45=VALUE(LEFT(A55,2)),$G$41-($E$46*($A$45-1)),E54))</f>
        <v>10791</v>
      </c>
      <c r="F55" s="49">
        <f t="shared" ref="F55:F69" si="6">IF($A$45&lt;VALUE(LEFT(A55,2))," ",IF($A$45=VALUE(LEFT(A55,2)),$G$42-($F$46*($A$45-1)),F54))</f>
        <v>674.44</v>
      </c>
      <c r="G55" s="76">
        <f t="shared" ref="G55:G69" si="7">IF($A$45&lt;VALUE(LEFT(A55,2))," ",SUM(E55:F55))</f>
        <v>11465.44</v>
      </c>
    </row>
    <row r="56" spans="1:7" x14ac:dyDescent="0.15">
      <c r="A56" s="103" t="s">
        <v>53</v>
      </c>
      <c r="B56" s="103"/>
      <c r="C56" s="103"/>
      <c r="D56" s="70">
        <f t="shared" ca="1" si="4"/>
        <v>45552</v>
      </c>
      <c r="E56" s="75">
        <f t="shared" si="5"/>
        <v>10791</v>
      </c>
      <c r="F56" s="49">
        <f t="shared" si="6"/>
        <v>674.44</v>
      </c>
      <c r="G56" s="76">
        <f t="shared" si="7"/>
        <v>11465.44</v>
      </c>
    </row>
    <row r="57" spans="1:7" x14ac:dyDescent="0.15">
      <c r="A57" s="103" t="s">
        <v>54</v>
      </c>
      <c r="B57" s="103"/>
      <c r="C57" s="103"/>
      <c r="D57" s="70">
        <f t="shared" ca="1" si="4"/>
        <v>45582</v>
      </c>
      <c r="E57" s="75">
        <f t="shared" si="5"/>
        <v>10791</v>
      </c>
      <c r="F57" s="49">
        <f t="shared" si="6"/>
        <v>674.44</v>
      </c>
      <c r="G57" s="76">
        <f t="shared" si="7"/>
        <v>11465.44</v>
      </c>
    </row>
    <row r="58" spans="1:7" x14ac:dyDescent="0.15">
      <c r="A58" s="103" t="s">
        <v>55</v>
      </c>
      <c r="B58" s="103"/>
      <c r="C58" s="103"/>
      <c r="D58" s="70">
        <f t="shared" ca="1" si="4"/>
        <v>45613</v>
      </c>
      <c r="E58" s="75">
        <f t="shared" si="5"/>
        <v>10791</v>
      </c>
      <c r="F58" s="49">
        <f t="shared" si="6"/>
        <v>674.44</v>
      </c>
      <c r="G58" s="76">
        <f t="shared" si="7"/>
        <v>11465.44</v>
      </c>
    </row>
    <row r="59" spans="1:7" x14ac:dyDescent="0.15">
      <c r="A59" s="103" t="s">
        <v>56</v>
      </c>
      <c r="B59" s="103"/>
      <c r="C59" s="103"/>
      <c r="D59" s="70">
        <f t="shared" ca="1" si="4"/>
        <v>45643</v>
      </c>
      <c r="E59" s="75">
        <f t="shared" si="5"/>
        <v>10791</v>
      </c>
      <c r="F59" s="49">
        <f t="shared" si="6"/>
        <v>674.44</v>
      </c>
      <c r="G59" s="76">
        <f t="shared" si="7"/>
        <v>11465.44</v>
      </c>
    </row>
    <row r="60" spans="1:7" x14ac:dyDescent="0.15">
      <c r="A60" s="103" t="s">
        <v>57</v>
      </c>
      <c r="B60" s="103"/>
      <c r="C60" s="103"/>
      <c r="D60" s="70">
        <f t="shared" ca="1" si="4"/>
        <v>45674</v>
      </c>
      <c r="E60" s="75">
        <f t="shared" si="5"/>
        <v>10791</v>
      </c>
      <c r="F60" s="49">
        <f t="shared" si="6"/>
        <v>674.44</v>
      </c>
      <c r="G60" s="76">
        <f t="shared" si="7"/>
        <v>11465.44</v>
      </c>
    </row>
    <row r="61" spans="1:7" x14ac:dyDescent="0.15">
      <c r="A61" s="103" t="s">
        <v>58</v>
      </c>
      <c r="B61" s="103"/>
      <c r="C61" s="103"/>
      <c r="D61" s="70">
        <f t="shared" ca="1" si="4"/>
        <v>45705</v>
      </c>
      <c r="E61" s="75">
        <f t="shared" si="5"/>
        <v>10791</v>
      </c>
      <c r="F61" s="49">
        <f t="shared" si="6"/>
        <v>674.44</v>
      </c>
      <c r="G61" s="76">
        <f t="shared" si="7"/>
        <v>11465.44</v>
      </c>
    </row>
    <row r="62" spans="1:7" x14ac:dyDescent="0.15">
      <c r="A62" s="103" t="s">
        <v>59</v>
      </c>
      <c r="B62" s="103"/>
      <c r="C62" s="103"/>
      <c r="D62" s="70">
        <f t="shared" ca="1" si="4"/>
        <v>45733</v>
      </c>
      <c r="E62" s="75">
        <f t="shared" si="5"/>
        <v>10791</v>
      </c>
      <c r="F62" s="49">
        <f t="shared" si="6"/>
        <v>674.44</v>
      </c>
      <c r="G62" s="76">
        <f t="shared" si="7"/>
        <v>11465.44</v>
      </c>
    </row>
    <row r="63" spans="1:7" x14ac:dyDescent="0.15">
      <c r="A63" s="103" t="s">
        <v>60</v>
      </c>
      <c r="B63" s="103"/>
      <c r="C63" s="103"/>
      <c r="D63" s="70">
        <f t="shared" ca="1" si="4"/>
        <v>45764</v>
      </c>
      <c r="E63" s="75">
        <f t="shared" si="5"/>
        <v>10791</v>
      </c>
      <c r="F63" s="49">
        <f t="shared" si="6"/>
        <v>674.44</v>
      </c>
      <c r="G63" s="76">
        <f t="shared" si="7"/>
        <v>11465.44</v>
      </c>
    </row>
    <row r="64" spans="1:7" x14ac:dyDescent="0.15">
      <c r="A64" s="103" t="s">
        <v>61</v>
      </c>
      <c r="B64" s="103"/>
      <c r="C64" s="103"/>
      <c r="D64" s="70">
        <f t="shared" ca="1" si="4"/>
        <v>45794</v>
      </c>
      <c r="E64" s="75">
        <f t="shared" si="5"/>
        <v>10791</v>
      </c>
      <c r="F64" s="49">
        <f t="shared" si="6"/>
        <v>674.44</v>
      </c>
      <c r="G64" s="76">
        <f t="shared" si="7"/>
        <v>11465.44</v>
      </c>
    </row>
    <row r="65" spans="1:7" x14ac:dyDescent="0.15">
      <c r="A65" s="103" t="s">
        <v>62</v>
      </c>
      <c r="B65" s="103"/>
      <c r="C65" s="103"/>
      <c r="D65" s="70">
        <f t="shared" ca="1" si="4"/>
        <v>45825</v>
      </c>
      <c r="E65" s="75">
        <f t="shared" si="5"/>
        <v>10791</v>
      </c>
      <c r="F65" s="49">
        <f t="shared" si="6"/>
        <v>674.44</v>
      </c>
      <c r="G65" s="76">
        <f t="shared" si="7"/>
        <v>11465.44</v>
      </c>
    </row>
    <row r="66" spans="1:7" x14ac:dyDescent="0.15">
      <c r="A66" s="103" t="s">
        <v>63</v>
      </c>
      <c r="B66" s="103"/>
      <c r="C66" s="103"/>
      <c r="D66" s="70">
        <f t="shared" ca="1" si="4"/>
        <v>45855</v>
      </c>
      <c r="E66" s="75">
        <f t="shared" si="5"/>
        <v>10791</v>
      </c>
      <c r="F66" s="49">
        <f t="shared" si="6"/>
        <v>674.44</v>
      </c>
      <c r="G66" s="76">
        <f t="shared" si="7"/>
        <v>11465.44</v>
      </c>
    </row>
    <row r="67" spans="1:7" x14ac:dyDescent="0.15">
      <c r="A67" s="103" t="s">
        <v>64</v>
      </c>
      <c r="B67" s="103"/>
      <c r="C67" s="103"/>
      <c r="D67" s="70">
        <f t="shared" ca="1" si="4"/>
        <v>45886</v>
      </c>
      <c r="E67" s="75">
        <f t="shared" si="5"/>
        <v>10791</v>
      </c>
      <c r="F67" s="49">
        <f t="shared" si="6"/>
        <v>674.44</v>
      </c>
      <c r="G67" s="76">
        <f t="shared" si="7"/>
        <v>11465.44</v>
      </c>
    </row>
    <row r="68" spans="1:7" x14ac:dyDescent="0.15">
      <c r="A68" s="103" t="s">
        <v>65</v>
      </c>
      <c r="B68" s="103"/>
      <c r="C68" s="103"/>
      <c r="D68" s="70">
        <f t="shared" ca="1" si="4"/>
        <v>45917</v>
      </c>
      <c r="E68" s="75">
        <f t="shared" si="5"/>
        <v>10791</v>
      </c>
      <c r="F68" s="49">
        <f t="shared" si="6"/>
        <v>674.44</v>
      </c>
      <c r="G68" s="76">
        <f t="shared" si="7"/>
        <v>11465.44</v>
      </c>
    </row>
    <row r="69" spans="1:7" x14ac:dyDescent="0.15">
      <c r="A69" s="103" t="s">
        <v>66</v>
      </c>
      <c r="B69" s="103"/>
      <c r="C69" s="103"/>
      <c r="D69" s="70">
        <f t="shared" ca="1" si="4"/>
        <v>45947</v>
      </c>
      <c r="E69" s="75">
        <f t="shared" si="5"/>
        <v>10791</v>
      </c>
      <c r="F69" s="49">
        <f t="shared" si="6"/>
        <v>674.44</v>
      </c>
      <c r="G69" s="76">
        <f t="shared" si="7"/>
        <v>11465.44</v>
      </c>
    </row>
    <row r="70" spans="1:7" x14ac:dyDescent="0.15">
      <c r="A70" s="103" t="s">
        <v>67</v>
      </c>
      <c r="B70" s="103"/>
      <c r="C70" s="103"/>
      <c r="D70" s="70">
        <f t="shared" ref="D70:D81" ca="1" si="8">IF($A$45&lt;VALUE(LEFT(A70,2))," ",DATE(YEAR(D69+30),MONTH(D69+30),DAY(D69)))</f>
        <v>45978</v>
      </c>
      <c r="E70" s="75">
        <f t="shared" ref="E70:E81" si="9">IF($A$45&lt;VALUE(LEFT(A70,2))," ",IF($A$45=VALUE(LEFT(A70,2)),$G$41-($E$46*($A$45-1)),E69))</f>
        <v>10791</v>
      </c>
      <c r="F70" s="49">
        <f t="shared" ref="F70:F81" si="10">IF($A$45&lt;VALUE(LEFT(A70,2))," ",IF($A$45=VALUE(LEFT(A70,2)),$G$42-($F$46*($A$45-1)),F69))</f>
        <v>674.44</v>
      </c>
      <c r="G70" s="76">
        <f t="shared" ref="G70:G81" si="11">IF($A$45&lt;VALUE(LEFT(A70,2))," ",SUM(E70:F70))</f>
        <v>11465.44</v>
      </c>
    </row>
    <row r="71" spans="1:7" x14ac:dyDescent="0.15">
      <c r="A71" s="103" t="s">
        <v>68</v>
      </c>
      <c r="B71" s="103"/>
      <c r="C71" s="103"/>
      <c r="D71" s="70">
        <f t="shared" ca="1" si="8"/>
        <v>46008</v>
      </c>
      <c r="E71" s="75">
        <f t="shared" si="9"/>
        <v>10791</v>
      </c>
      <c r="F71" s="49">
        <f t="shared" si="10"/>
        <v>674.44</v>
      </c>
      <c r="G71" s="76">
        <f t="shared" si="11"/>
        <v>11465.44</v>
      </c>
    </row>
    <row r="72" spans="1:7" x14ac:dyDescent="0.15">
      <c r="A72" s="103" t="s">
        <v>69</v>
      </c>
      <c r="B72" s="103"/>
      <c r="C72" s="103"/>
      <c r="D72" s="70">
        <f t="shared" ca="1" si="8"/>
        <v>46039</v>
      </c>
      <c r="E72" s="75">
        <f t="shared" si="9"/>
        <v>10791</v>
      </c>
      <c r="F72" s="49">
        <f t="shared" si="10"/>
        <v>674.44</v>
      </c>
      <c r="G72" s="76">
        <f t="shared" si="11"/>
        <v>11465.44</v>
      </c>
    </row>
    <row r="73" spans="1:7" x14ac:dyDescent="0.15">
      <c r="A73" s="103" t="s">
        <v>70</v>
      </c>
      <c r="B73" s="103"/>
      <c r="C73" s="103"/>
      <c r="D73" s="70">
        <f t="shared" ca="1" si="8"/>
        <v>46070</v>
      </c>
      <c r="E73" s="75">
        <f t="shared" si="9"/>
        <v>10791</v>
      </c>
      <c r="F73" s="49">
        <f t="shared" si="10"/>
        <v>674.44</v>
      </c>
      <c r="G73" s="76">
        <f t="shared" si="11"/>
        <v>11465.44</v>
      </c>
    </row>
    <row r="74" spans="1:7" x14ac:dyDescent="0.15">
      <c r="A74" s="103" t="s">
        <v>71</v>
      </c>
      <c r="B74" s="103"/>
      <c r="C74" s="103"/>
      <c r="D74" s="70">
        <f t="shared" ca="1" si="8"/>
        <v>46098</v>
      </c>
      <c r="E74" s="75">
        <f t="shared" si="9"/>
        <v>10791</v>
      </c>
      <c r="F74" s="49">
        <f t="shared" si="10"/>
        <v>674.44</v>
      </c>
      <c r="G74" s="76">
        <f t="shared" si="11"/>
        <v>11465.44</v>
      </c>
    </row>
    <row r="75" spans="1:7" x14ac:dyDescent="0.15">
      <c r="A75" s="103" t="s">
        <v>72</v>
      </c>
      <c r="B75" s="103"/>
      <c r="C75" s="103"/>
      <c r="D75" s="70">
        <f t="shared" ca="1" si="8"/>
        <v>46129</v>
      </c>
      <c r="E75" s="75">
        <f t="shared" si="9"/>
        <v>10791</v>
      </c>
      <c r="F75" s="49">
        <f t="shared" si="10"/>
        <v>674.44</v>
      </c>
      <c r="G75" s="76">
        <f t="shared" si="11"/>
        <v>11465.44</v>
      </c>
    </row>
    <row r="76" spans="1:7" x14ac:dyDescent="0.15">
      <c r="A76" s="103" t="s">
        <v>73</v>
      </c>
      <c r="B76" s="103"/>
      <c r="C76" s="103"/>
      <c r="D76" s="70">
        <f t="shared" ca="1" si="8"/>
        <v>46159</v>
      </c>
      <c r="E76" s="75">
        <f t="shared" si="9"/>
        <v>10791</v>
      </c>
      <c r="F76" s="49">
        <f t="shared" si="10"/>
        <v>674.44</v>
      </c>
      <c r="G76" s="76">
        <f t="shared" si="11"/>
        <v>11465.44</v>
      </c>
    </row>
    <row r="77" spans="1:7" x14ac:dyDescent="0.15">
      <c r="A77" s="103" t="s">
        <v>74</v>
      </c>
      <c r="B77" s="103"/>
      <c r="C77" s="103"/>
      <c r="D77" s="70">
        <f t="shared" ca="1" si="8"/>
        <v>46190</v>
      </c>
      <c r="E77" s="75">
        <f t="shared" si="9"/>
        <v>10791</v>
      </c>
      <c r="F77" s="49">
        <f t="shared" si="10"/>
        <v>674.44</v>
      </c>
      <c r="G77" s="76">
        <f t="shared" si="11"/>
        <v>11465.44</v>
      </c>
    </row>
    <row r="78" spans="1:7" x14ac:dyDescent="0.15">
      <c r="A78" s="103" t="s">
        <v>75</v>
      </c>
      <c r="B78" s="103"/>
      <c r="C78" s="103"/>
      <c r="D78" s="70">
        <f t="shared" ca="1" si="8"/>
        <v>46220</v>
      </c>
      <c r="E78" s="75">
        <f t="shared" si="9"/>
        <v>10791</v>
      </c>
      <c r="F78" s="49">
        <f t="shared" si="10"/>
        <v>674.44</v>
      </c>
      <c r="G78" s="76">
        <f t="shared" si="11"/>
        <v>11465.44</v>
      </c>
    </row>
    <row r="79" spans="1:7" x14ac:dyDescent="0.15">
      <c r="A79" s="103" t="s">
        <v>76</v>
      </c>
      <c r="B79" s="103"/>
      <c r="C79" s="103"/>
      <c r="D79" s="70">
        <f t="shared" ca="1" si="8"/>
        <v>46251</v>
      </c>
      <c r="E79" s="75">
        <f t="shared" si="9"/>
        <v>10791</v>
      </c>
      <c r="F79" s="49">
        <f t="shared" si="10"/>
        <v>674.44</v>
      </c>
      <c r="G79" s="76">
        <f t="shared" si="11"/>
        <v>11465.44</v>
      </c>
    </row>
    <row r="80" spans="1:7" x14ac:dyDescent="0.15">
      <c r="A80" s="103" t="s">
        <v>77</v>
      </c>
      <c r="B80" s="103"/>
      <c r="C80" s="103"/>
      <c r="D80" s="70">
        <f t="shared" ca="1" si="8"/>
        <v>46282</v>
      </c>
      <c r="E80" s="75">
        <f t="shared" si="9"/>
        <v>10791</v>
      </c>
      <c r="F80" s="49">
        <f t="shared" si="10"/>
        <v>674.44</v>
      </c>
      <c r="G80" s="76">
        <f t="shared" si="11"/>
        <v>11465.44</v>
      </c>
    </row>
    <row r="81" spans="1:7" x14ac:dyDescent="0.15">
      <c r="A81" s="103" t="s">
        <v>78</v>
      </c>
      <c r="B81" s="103"/>
      <c r="C81" s="103"/>
      <c r="D81" s="70">
        <f t="shared" ca="1" si="8"/>
        <v>46312</v>
      </c>
      <c r="E81" s="75">
        <f t="shared" si="9"/>
        <v>10791</v>
      </c>
      <c r="F81" s="49">
        <f t="shared" si="10"/>
        <v>674.44</v>
      </c>
      <c r="G81" s="76">
        <f t="shared" si="11"/>
        <v>11465.44</v>
      </c>
    </row>
    <row r="82" spans="1:7" x14ac:dyDescent="0.15">
      <c r="A82" s="103" t="s">
        <v>79</v>
      </c>
      <c r="B82" s="103"/>
      <c r="C82" s="103"/>
      <c r="D82" s="70">
        <f t="shared" ref="D82:D99" ca="1" si="12">IF($A$45&lt;VALUE(LEFT(A82,2))," ",DATE(YEAR(D81+30),MONTH(D81+30),DAY(D81)))</f>
        <v>46343</v>
      </c>
      <c r="E82" s="75">
        <f t="shared" ref="E82:E99" si="13">IF($A$45&lt;VALUE(LEFT(A82,2))," ",IF($A$45=VALUE(LEFT(A82,2)),$G$41-($E$46*($A$45-1)),E81))</f>
        <v>10791</v>
      </c>
      <c r="F82" s="49">
        <f t="shared" ref="F82:F99" si="14">IF($A$45&lt;VALUE(LEFT(A82,2))," ",IF($A$45=VALUE(LEFT(A82,2)),$G$42-($F$46*($A$45-1)),F81))</f>
        <v>674.44</v>
      </c>
      <c r="G82" s="76">
        <f t="shared" ref="G82:G99" si="15">IF($A$45&lt;VALUE(LEFT(A82,2))," ",SUM(E82:F82))</f>
        <v>11465.44</v>
      </c>
    </row>
    <row r="83" spans="1:7" x14ac:dyDescent="0.15">
      <c r="A83" s="103" t="s">
        <v>80</v>
      </c>
      <c r="B83" s="103"/>
      <c r="C83" s="103"/>
      <c r="D83" s="70">
        <f t="shared" ca="1" si="12"/>
        <v>46373</v>
      </c>
      <c r="E83" s="75">
        <f t="shared" si="13"/>
        <v>10791</v>
      </c>
      <c r="F83" s="49">
        <f t="shared" si="14"/>
        <v>674.44</v>
      </c>
      <c r="G83" s="76">
        <f t="shared" si="15"/>
        <v>11465.44</v>
      </c>
    </row>
    <row r="84" spans="1:7" x14ac:dyDescent="0.15">
      <c r="A84" s="103" t="s">
        <v>81</v>
      </c>
      <c r="B84" s="103"/>
      <c r="C84" s="103"/>
      <c r="D84" s="70">
        <f t="shared" ca="1" si="12"/>
        <v>46404</v>
      </c>
      <c r="E84" s="75">
        <f t="shared" si="13"/>
        <v>10791</v>
      </c>
      <c r="F84" s="49">
        <f t="shared" si="14"/>
        <v>674.44</v>
      </c>
      <c r="G84" s="76">
        <f t="shared" si="15"/>
        <v>11465.44</v>
      </c>
    </row>
    <row r="85" spans="1:7" x14ac:dyDescent="0.15">
      <c r="A85" s="103" t="s">
        <v>82</v>
      </c>
      <c r="B85" s="103"/>
      <c r="C85" s="103"/>
      <c r="D85" s="70">
        <f t="shared" ca="1" si="12"/>
        <v>46435</v>
      </c>
      <c r="E85" s="75">
        <f t="shared" si="13"/>
        <v>10791</v>
      </c>
      <c r="F85" s="49">
        <f t="shared" si="14"/>
        <v>674.44</v>
      </c>
      <c r="G85" s="76">
        <f t="shared" si="15"/>
        <v>11465.44</v>
      </c>
    </row>
    <row r="86" spans="1:7" x14ac:dyDescent="0.15">
      <c r="A86" s="103" t="s">
        <v>83</v>
      </c>
      <c r="B86" s="103"/>
      <c r="C86" s="103"/>
      <c r="D86" s="70">
        <f t="shared" ca="1" si="12"/>
        <v>46463</v>
      </c>
      <c r="E86" s="75">
        <f t="shared" si="13"/>
        <v>10791</v>
      </c>
      <c r="F86" s="49">
        <f t="shared" si="14"/>
        <v>674.44</v>
      </c>
      <c r="G86" s="76">
        <f t="shared" si="15"/>
        <v>11465.44</v>
      </c>
    </row>
    <row r="87" spans="1:7" x14ac:dyDescent="0.15">
      <c r="A87" s="103" t="s">
        <v>84</v>
      </c>
      <c r="B87" s="103"/>
      <c r="C87" s="103"/>
      <c r="D87" s="70">
        <f t="shared" ca="1" si="12"/>
        <v>46494</v>
      </c>
      <c r="E87" s="75">
        <f t="shared" si="13"/>
        <v>10791</v>
      </c>
      <c r="F87" s="49">
        <f t="shared" si="14"/>
        <v>674.44</v>
      </c>
      <c r="G87" s="76">
        <f t="shared" si="15"/>
        <v>11465.44</v>
      </c>
    </row>
    <row r="88" spans="1:7" x14ac:dyDescent="0.15">
      <c r="A88" s="103" t="s">
        <v>85</v>
      </c>
      <c r="B88" s="103"/>
      <c r="C88" s="103"/>
      <c r="D88" s="70">
        <f t="shared" ca="1" si="12"/>
        <v>46524</v>
      </c>
      <c r="E88" s="75">
        <f t="shared" si="13"/>
        <v>10791</v>
      </c>
      <c r="F88" s="49">
        <f t="shared" si="14"/>
        <v>674.44</v>
      </c>
      <c r="G88" s="76">
        <f t="shared" si="15"/>
        <v>11465.44</v>
      </c>
    </row>
    <row r="89" spans="1:7" x14ac:dyDescent="0.15">
      <c r="A89" s="103" t="s">
        <v>86</v>
      </c>
      <c r="B89" s="103"/>
      <c r="C89" s="103"/>
      <c r="D89" s="70">
        <f t="shared" ca="1" si="12"/>
        <v>46555</v>
      </c>
      <c r="E89" s="75">
        <f t="shared" si="13"/>
        <v>10791</v>
      </c>
      <c r="F89" s="49">
        <f t="shared" si="14"/>
        <v>674.44</v>
      </c>
      <c r="G89" s="76">
        <f t="shared" si="15"/>
        <v>11465.44</v>
      </c>
    </row>
    <row r="90" spans="1:7" x14ac:dyDescent="0.15">
      <c r="A90" s="103" t="s">
        <v>87</v>
      </c>
      <c r="B90" s="103"/>
      <c r="C90" s="103"/>
      <c r="D90" s="70">
        <f t="shared" ca="1" si="12"/>
        <v>46585</v>
      </c>
      <c r="E90" s="75">
        <f t="shared" si="13"/>
        <v>10791</v>
      </c>
      <c r="F90" s="49">
        <f t="shared" si="14"/>
        <v>674.44</v>
      </c>
      <c r="G90" s="76">
        <f t="shared" si="15"/>
        <v>11465.44</v>
      </c>
    </row>
    <row r="91" spans="1:7" x14ac:dyDescent="0.15">
      <c r="A91" s="103" t="s">
        <v>88</v>
      </c>
      <c r="B91" s="103"/>
      <c r="C91" s="103"/>
      <c r="D91" s="70">
        <f t="shared" ca="1" si="12"/>
        <v>46616</v>
      </c>
      <c r="E91" s="75">
        <f t="shared" si="13"/>
        <v>10791</v>
      </c>
      <c r="F91" s="49">
        <f t="shared" si="14"/>
        <v>674.44</v>
      </c>
      <c r="G91" s="76">
        <f t="shared" si="15"/>
        <v>11465.44</v>
      </c>
    </row>
    <row r="92" spans="1:7" x14ac:dyDescent="0.15">
      <c r="A92" s="103" t="s">
        <v>89</v>
      </c>
      <c r="B92" s="103"/>
      <c r="C92" s="103"/>
      <c r="D92" s="70">
        <f t="shared" ca="1" si="12"/>
        <v>46647</v>
      </c>
      <c r="E92" s="75">
        <f t="shared" si="13"/>
        <v>10791</v>
      </c>
      <c r="F92" s="49">
        <f t="shared" si="14"/>
        <v>674.44</v>
      </c>
      <c r="G92" s="76">
        <f t="shared" si="15"/>
        <v>11465.44</v>
      </c>
    </row>
    <row r="93" spans="1:7" x14ac:dyDescent="0.15">
      <c r="A93" s="103" t="s">
        <v>90</v>
      </c>
      <c r="B93" s="103"/>
      <c r="C93" s="103"/>
      <c r="D93" s="70">
        <f t="shared" ca="1" si="12"/>
        <v>46677</v>
      </c>
      <c r="E93" s="75">
        <f t="shared" si="13"/>
        <v>10791</v>
      </c>
      <c r="F93" s="49">
        <f t="shared" si="14"/>
        <v>674.31999999999607</v>
      </c>
      <c r="G93" s="76">
        <f t="shared" si="15"/>
        <v>11465.319999999996</v>
      </c>
    </row>
    <row r="94" spans="1:7" hidden="1" x14ac:dyDescent="0.15">
      <c r="A94" s="103" t="s">
        <v>91</v>
      </c>
      <c r="B94" s="103"/>
      <c r="C94" s="103"/>
      <c r="D94" s="70" t="str">
        <f t="shared" si="12"/>
        <v xml:space="preserve"> </v>
      </c>
      <c r="E94" s="75" t="str">
        <f t="shared" si="13"/>
        <v xml:space="preserve"> </v>
      </c>
      <c r="F94" s="49" t="str">
        <f t="shared" si="14"/>
        <v xml:space="preserve"> </v>
      </c>
      <c r="G94" s="76" t="str">
        <f t="shared" si="15"/>
        <v xml:space="preserve"> </v>
      </c>
    </row>
    <row r="95" spans="1:7" hidden="1" x14ac:dyDescent="0.15">
      <c r="A95" s="103" t="s">
        <v>92</v>
      </c>
      <c r="B95" s="103"/>
      <c r="C95" s="103"/>
      <c r="D95" s="70" t="str">
        <f t="shared" si="12"/>
        <v xml:space="preserve"> </v>
      </c>
      <c r="E95" s="75" t="str">
        <f t="shared" si="13"/>
        <v xml:space="preserve"> </v>
      </c>
      <c r="F95" s="49" t="str">
        <f t="shared" si="14"/>
        <v xml:space="preserve"> </v>
      </c>
      <c r="G95" s="76" t="str">
        <f t="shared" si="15"/>
        <v xml:space="preserve"> </v>
      </c>
    </row>
    <row r="96" spans="1:7" hidden="1" x14ac:dyDescent="0.15">
      <c r="A96" s="103" t="s">
        <v>93</v>
      </c>
      <c r="B96" s="103"/>
      <c r="C96" s="103"/>
      <c r="D96" s="70" t="str">
        <f t="shared" si="12"/>
        <v xml:space="preserve"> </v>
      </c>
      <c r="E96" s="75" t="str">
        <f t="shared" si="13"/>
        <v xml:space="preserve"> </v>
      </c>
      <c r="F96" s="49" t="str">
        <f t="shared" si="14"/>
        <v xml:space="preserve"> </v>
      </c>
      <c r="G96" s="76" t="str">
        <f t="shared" si="15"/>
        <v xml:space="preserve"> </v>
      </c>
    </row>
    <row r="97" spans="1:7" hidden="1" x14ac:dyDescent="0.15">
      <c r="A97" s="103" t="s">
        <v>94</v>
      </c>
      <c r="B97" s="103"/>
      <c r="C97" s="103"/>
      <c r="D97" s="70" t="str">
        <f t="shared" si="12"/>
        <v xml:space="preserve"> </v>
      </c>
      <c r="E97" s="75" t="str">
        <f t="shared" si="13"/>
        <v xml:space="preserve"> </v>
      </c>
      <c r="F97" s="49" t="str">
        <f t="shared" si="14"/>
        <v xml:space="preserve"> </v>
      </c>
      <c r="G97" s="76" t="str">
        <f t="shared" si="15"/>
        <v xml:space="preserve"> </v>
      </c>
    </row>
    <row r="98" spans="1:7" hidden="1" x14ac:dyDescent="0.15">
      <c r="A98" s="103" t="s">
        <v>95</v>
      </c>
      <c r="B98" s="103"/>
      <c r="C98" s="103"/>
      <c r="D98" s="70" t="str">
        <f t="shared" si="12"/>
        <v xml:space="preserve"> </v>
      </c>
      <c r="E98" s="75" t="str">
        <f t="shared" si="13"/>
        <v xml:space="preserve"> </v>
      </c>
      <c r="F98" s="49" t="str">
        <f t="shared" si="14"/>
        <v xml:space="preserve"> </v>
      </c>
      <c r="G98" s="76" t="str">
        <f t="shared" si="15"/>
        <v xml:space="preserve"> </v>
      </c>
    </row>
    <row r="99" spans="1:7" hidden="1" x14ac:dyDescent="0.15">
      <c r="A99" s="103" t="s">
        <v>96</v>
      </c>
      <c r="B99" s="103"/>
      <c r="C99" s="103"/>
      <c r="D99" s="70" t="str">
        <f t="shared" si="12"/>
        <v xml:space="preserve"> </v>
      </c>
      <c r="E99" s="75" t="str">
        <f t="shared" si="13"/>
        <v xml:space="preserve"> </v>
      </c>
      <c r="F99" s="49" t="str">
        <f t="shared" si="14"/>
        <v xml:space="preserve"> </v>
      </c>
      <c r="G99" s="76" t="str">
        <f t="shared" si="15"/>
        <v xml:space="preserve"> </v>
      </c>
    </row>
    <row r="100" spans="1:7" hidden="1" x14ac:dyDescent="0.15">
      <c r="A100" s="103" t="s">
        <v>97</v>
      </c>
      <c r="B100" s="103"/>
      <c r="C100" s="103"/>
      <c r="D100" s="70" t="str">
        <f t="shared" ref="D100:D105" si="16">IF($A$45&lt;VALUE(LEFT(A100,2))," ",DATE(YEAR(D99+30),MONTH(D99+30),DAY(D99)))</f>
        <v xml:space="preserve"> </v>
      </c>
      <c r="E100" s="75" t="str">
        <f t="shared" ref="E100:E105" si="17">IF($A$45&lt;VALUE(LEFT(A100,2))," ",IF($A$45=VALUE(LEFT(A100,2)),$G$41-($E$46*($A$45-1)),E99))</f>
        <v xml:space="preserve"> </v>
      </c>
      <c r="F100" s="49" t="str">
        <f t="shared" ref="F100:F105" si="18">IF($A$45&lt;VALUE(LEFT(A100,2))," ",IF($A$45=VALUE(LEFT(A100,2)),$G$42-($F$46*($A$45-1)),F99))</f>
        <v xml:space="preserve"> </v>
      </c>
      <c r="G100" s="76" t="str">
        <f t="shared" ref="G100:G105" si="19">IF($A$45&lt;VALUE(LEFT(A100,2))," ",SUM(E100:F100))</f>
        <v xml:space="preserve"> </v>
      </c>
    </row>
    <row r="101" spans="1:7" hidden="1" x14ac:dyDescent="0.15">
      <c r="A101" s="103" t="s">
        <v>98</v>
      </c>
      <c r="B101" s="103"/>
      <c r="C101" s="103"/>
      <c r="D101" s="70" t="str">
        <f t="shared" si="16"/>
        <v xml:space="preserve"> </v>
      </c>
      <c r="E101" s="75" t="str">
        <f t="shared" si="17"/>
        <v xml:space="preserve"> </v>
      </c>
      <c r="F101" s="49" t="str">
        <f t="shared" si="18"/>
        <v xml:space="preserve"> </v>
      </c>
      <c r="G101" s="76" t="str">
        <f t="shared" si="19"/>
        <v xml:space="preserve"> </v>
      </c>
    </row>
    <row r="102" spans="1:7" hidden="1" x14ac:dyDescent="0.15">
      <c r="A102" s="103" t="s">
        <v>99</v>
      </c>
      <c r="B102" s="103"/>
      <c r="C102" s="103"/>
      <c r="D102" s="70" t="str">
        <f t="shared" si="16"/>
        <v xml:space="preserve"> </v>
      </c>
      <c r="E102" s="75" t="str">
        <f t="shared" si="17"/>
        <v xml:space="preserve"> </v>
      </c>
      <c r="F102" s="49" t="str">
        <f t="shared" si="18"/>
        <v xml:space="preserve"> </v>
      </c>
      <c r="G102" s="76" t="str">
        <f t="shared" si="19"/>
        <v xml:space="preserve"> </v>
      </c>
    </row>
    <row r="103" spans="1:7" hidden="1" x14ac:dyDescent="0.15">
      <c r="A103" s="103" t="s">
        <v>100</v>
      </c>
      <c r="B103" s="103"/>
      <c r="C103" s="103"/>
      <c r="D103" s="70" t="str">
        <f t="shared" si="16"/>
        <v xml:space="preserve"> </v>
      </c>
      <c r="E103" s="75" t="str">
        <f t="shared" si="17"/>
        <v xml:space="preserve"> </v>
      </c>
      <c r="F103" s="49" t="str">
        <f t="shared" si="18"/>
        <v xml:space="preserve"> </v>
      </c>
      <c r="G103" s="76" t="str">
        <f t="shared" si="19"/>
        <v xml:space="preserve"> </v>
      </c>
    </row>
    <row r="104" spans="1:7" hidden="1" x14ac:dyDescent="0.15">
      <c r="A104" s="103" t="s">
        <v>101</v>
      </c>
      <c r="B104" s="103"/>
      <c r="C104" s="103"/>
      <c r="D104" s="70" t="str">
        <f t="shared" si="16"/>
        <v xml:space="preserve"> </v>
      </c>
      <c r="E104" s="75" t="str">
        <f t="shared" si="17"/>
        <v xml:space="preserve"> </v>
      </c>
      <c r="F104" s="49" t="str">
        <f t="shared" si="18"/>
        <v xml:space="preserve"> </v>
      </c>
      <c r="G104" s="76" t="str">
        <f t="shared" si="19"/>
        <v xml:space="preserve"> </v>
      </c>
    </row>
    <row r="105" spans="1:7" hidden="1" x14ac:dyDescent="0.15">
      <c r="A105" s="103" t="s">
        <v>102</v>
      </c>
      <c r="B105" s="103"/>
      <c r="C105" s="103"/>
      <c r="D105" s="70" t="str">
        <f t="shared" si="16"/>
        <v xml:space="preserve"> </v>
      </c>
      <c r="E105" s="75" t="str">
        <f t="shared" si="17"/>
        <v xml:space="preserve"> </v>
      </c>
      <c r="F105" s="49" t="str">
        <f t="shared" si="18"/>
        <v xml:space="preserve"> </v>
      </c>
      <c r="G105" s="76" t="str">
        <f t="shared" si="19"/>
        <v xml:space="preserve"> </v>
      </c>
    </row>
    <row r="106" spans="1:7" ht="12.75" hidden="1" customHeight="1" x14ac:dyDescent="0.15">
      <c r="A106" s="103" t="s">
        <v>103</v>
      </c>
      <c r="B106" s="103"/>
      <c r="C106" s="103"/>
      <c r="D106" s="70" t="str">
        <f t="shared" ref="D106:D111" si="20">IF($A$45&lt;VALUE(LEFT(A106,2))," ",DATE(YEAR(D105+30),MONTH(D105+30),DAY(D105)))</f>
        <v xml:space="preserve"> </v>
      </c>
      <c r="E106" s="75" t="str">
        <f t="shared" ref="E106:E111" si="21">IF($A$45&lt;VALUE(LEFT(A106,2))," ",IF($A$45=VALUE(LEFT(A106,2)),$G$41-($E$46*($A$45-1)),E105))</f>
        <v xml:space="preserve"> </v>
      </c>
      <c r="F106" s="49" t="str">
        <f t="shared" ref="F106:F111" si="22">IF($A$45&lt;VALUE(LEFT(A106,2))," ",IF($A$45=VALUE(LEFT(A106,2)),$G$42-($F$46*($A$45-1)),F105))</f>
        <v xml:space="preserve"> </v>
      </c>
      <c r="G106" s="76" t="str">
        <f t="shared" ref="G106:G111" si="23">IF($A$45&lt;VALUE(LEFT(A106,2))," ",SUM(E106:F106))</f>
        <v xml:space="preserve"> </v>
      </c>
    </row>
    <row r="107" spans="1:7" ht="12.75" hidden="1" customHeight="1" x14ac:dyDescent="0.15">
      <c r="A107" s="103" t="s">
        <v>104</v>
      </c>
      <c r="B107" s="103"/>
      <c r="C107" s="103"/>
      <c r="D107" s="70" t="str">
        <f t="shared" si="20"/>
        <v xml:space="preserve"> </v>
      </c>
      <c r="E107" s="75" t="str">
        <f t="shared" si="21"/>
        <v xml:space="preserve"> </v>
      </c>
      <c r="F107" s="49" t="str">
        <f t="shared" si="22"/>
        <v xml:space="preserve"> </v>
      </c>
      <c r="G107" s="76" t="str">
        <f t="shared" si="23"/>
        <v xml:space="preserve"> </v>
      </c>
    </row>
    <row r="108" spans="1:7" ht="12.75" hidden="1" customHeight="1" x14ac:dyDescent="0.15">
      <c r="A108" s="103" t="s">
        <v>105</v>
      </c>
      <c r="B108" s="103"/>
      <c r="C108" s="103"/>
      <c r="D108" s="70" t="str">
        <f t="shared" si="20"/>
        <v xml:space="preserve"> </v>
      </c>
      <c r="E108" s="75" t="str">
        <f t="shared" si="21"/>
        <v xml:space="preserve"> </v>
      </c>
      <c r="F108" s="49" t="str">
        <f t="shared" si="22"/>
        <v xml:space="preserve"> </v>
      </c>
      <c r="G108" s="76" t="str">
        <f t="shared" si="23"/>
        <v xml:space="preserve"> </v>
      </c>
    </row>
    <row r="109" spans="1:7" ht="12.75" hidden="1" customHeight="1" x14ac:dyDescent="0.15">
      <c r="A109" s="103" t="s">
        <v>106</v>
      </c>
      <c r="B109" s="103"/>
      <c r="C109" s="103"/>
      <c r="D109" s="70" t="str">
        <f t="shared" si="20"/>
        <v xml:space="preserve"> </v>
      </c>
      <c r="E109" s="75" t="str">
        <f t="shared" si="21"/>
        <v xml:space="preserve"> </v>
      </c>
      <c r="F109" s="49" t="str">
        <f t="shared" si="22"/>
        <v xml:space="preserve"> </v>
      </c>
      <c r="G109" s="76" t="str">
        <f t="shared" si="23"/>
        <v xml:space="preserve"> </v>
      </c>
    </row>
    <row r="110" spans="1:7" ht="12.75" hidden="1" customHeight="1" x14ac:dyDescent="0.15">
      <c r="A110" s="103" t="s">
        <v>107</v>
      </c>
      <c r="B110" s="103"/>
      <c r="C110" s="103"/>
      <c r="D110" s="70" t="str">
        <f t="shared" si="20"/>
        <v xml:space="preserve"> </v>
      </c>
      <c r="E110" s="75" t="str">
        <f t="shared" si="21"/>
        <v xml:space="preserve"> </v>
      </c>
      <c r="F110" s="49" t="str">
        <f t="shared" si="22"/>
        <v xml:space="preserve"> </v>
      </c>
      <c r="G110" s="76" t="str">
        <f t="shared" si="23"/>
        <v xml:space="preserve"> </v>
      </c>
    </row>
    <row r="111" spans="1:7" ht="12.75" hidden="1" customHeight="1" x14ac:dyDescent="0.15">
      <c r="A111" s="103" t="s">
        <v>108</v>
      </c>
      <c r="B111" s="103"/>
      <c r="C111" s="103"/>
      <c r="D111" s="70" t="str">
        <f t="shared" si="20"/>
        <v xml:space="preserve"> </v>
      </c>
      <c r="E111" s="75" t="str">
        <f t="shared" si="21"/>
        <v xml:space="preserve"> </v>
      </c>
      <c r="F111" s="49" t="str">
        <f t="shared" si="22"/>
        <v xml:space="preserve"> </v>
      </c>
      <c r="G111" s="76" t="str">
        <f t="shared" si="23"/>
        <v xml:space="preserve"> </v>
      </c>
    </row>
    <row r="112" spans="1:7" x14ac:dyDescent="0.15">
      <c r="B112" s="66"/>
      <c r="E112" s="82"/>
      <c r="F112" s="83"/>
      <c r="G112" s="86"/>
    </row>
    <row r="113" spans="1:9" x14ac:dyDescent="0.15">
      <c r="A113" s="1" t="s">
        <v>109</v>
      </c>
    </row>
    <row r="114" spans="1:9" x14ac:dyDescent="0.15">
      <c r="B114" s="2" t="s">
        <v>110</v>
      </c>
      <c r="F114" s="39">
        <f ca="1">D88</f>
        <v>46524</v>
      </c>
    </row>
    <row r="115" spans="1:9" x14ac:dyDescent="0.15">
      <c r="B115" s="2" t="s">
        <v>111</v>
      </c>
      <c r="F115" s="39">
        <f ca="1">D93+31</f>
        <v>46708</v>
      </c>
      <c r="G115" s="93">
        <f>ROUND(((G22+G23)*((100-A31)/100))+(G27*(100-A31)/100),2)</f>
        <v>4402728</v>
      </c>
      <c r="I115" s="76"/>
    </row>
    <row r="116" spans="1:9" x14ac:dyDescent="0.15">
      <c r="B116" s="2" t="s">
        <v>112</v>
      </c>
    </row>
    <row r="118" spans="1:9" x14ac:dyDescent="0.15">
      <c r="A118" s="29" t="s">
        <v>113</v>
      </c>
      <c r="B118" s="30"/>
      <c r="C118" s="30"/>
      <c r="D118" s="30"/>
    </row>
    <row r="119" spans="1:9" x14ac:dyDescent="0.15">
      <c r="A119" s="104" t="s">
        <v>114</v>
      </c>
      <c r="B119" s="104"/>
      <c r="C119" s="104"/>
      <c r="D119" s="104"/>
      <c r="E119" s="104"/>
      <c r="F119" s="104"/>
      <c r="G119" s="104"/>
    </row>
    <row r="120" spans="1:9" x14ac:dyDescent="0.15">
      <c r="A120" s="30" t="s">
        <v>115</v>
      </c>
      <c r="B120" s="30"/>
      <c r="C120" s="30"/>
      <c r="D120" s="30"/>
    </row>
    <row r="121" spans="1:9" x14ac:dyDescent="0.15">
      <c r="A121" s="30" t="s">
        <v>116</v>
      </c>
      <c r="B121" s="30"/>
      <c r="C121" s="30"/>
      <c r="D121" s="30"/>
    </row>
    <row r="122" spans="1:9" x14ac:dyDescent="0.15">
      <c r="A122" s="30" t="s">
        <v>117</v>
      </c>
      <c r="B122" s="30"/>
      <c r="C122" s="30"/>
      <c r="D122" s="30"/>
    </row>
    <row r="123" spans="1:9" x14ac:dyDescent="0.15">
      <c r="A123" s="31" t="s">
        <v>118</v>
      </c>
      <c r="B123" s="30"/>
      <c r="C123" s="30"/>
      <c r="D123" s="30"/>
    </row>
    <row r="124" spans="1:9" x14ac:dyDescent="0.15">
      <c r="A124" s="31" t="s">
        <v>119</v>
      </c>
      <c r="B124" s="30"/>
      <c r="C124" s="30"/>
      <c r="D124" s="30"/>
    </row>
    <row r="125" spans="1:9" x14ac:dyDescent="0.15">
      <c r="A125" s="31" t="s">
        <v>120</v>
      </c>
      <c r="B125" s="30"/>
      <c r="C125" s="30"/>
      <c r="D125" s="30"/>
    </row>
    <row r="126" spans="1:9" ht="12.6" customHeight="1" x14ac:dyDescent="0.15">
      <c r="A126" s="105" t="s">
        <v>121</v>
      </c>
      <c r="B126" s="106"/>
      <c r="C126" s="106"/>
      <c r="D126" s="106"/>
      <c r="E126" s="106"/>
      <c r="F126" s="106"/>
      <c r="G126" s="107"/>
    </row>
    <row r="127" spans="1:9" ht="12.6" customHeight="1" x14ac:dyDescent="0.15">
      <c r="A127" s="92" t="s">
        <v>122</v>
      </c>
      <c r="B127" s="32"/>
      <c r="C127" s="32"/>
      <c r="D127" s="32"/>
      <c r="E127" s="32"/>
      <c r="F127" s="32"/>
      <c r="G127" s="94"/>
    </row>
    <row r="128" spans="1:9" ht="12.6" customHeight="1" x14ac:dyDescent="0.15">
      <c r="A128" s="92" t="s">
        <v>123</v>
      </c>
      <c r="B128" s="32"/>
      <c r="C128" s="32"/>
      <c r="D128" s="32"/>
      <c r="E128" s="32"/>
      <c r="F128" s="32"/>
      <c r="G128" s="94"/>
    </row>
    <row r="129" spans="1:7" ht="12.6" customHeight="1" x14ac:dyDescent="0.15">
      <c r="A129" s="92" t="s">
        <v>124</v>
      </c>
      <c r="B129" s="32"/>
      <c r="C129" s="32"/>
      <c r="D129" s="32"/>
      <c r="E129" s="32"/>
      <c r="F129" s="32"/>
      <c r="G129" s="94"/>
    </row>
    <row r="130" spans="1:7" ht="13.35" customHeight="1" x14ac:dyDescent="0.15">
      <c r="A130" s="108" t="s">
        <v>125</v>
      </c>
      <c r="B130" s="109"/>
      <c r="C130" s="109"/>
      <c r="D130" s="109"/>
      <c r="E130" s="109"/>
      <c r="F130" s="109"/>
      <c r="G130" s="110"/>
    </row>
    <row r="131" spans="1:7" x14ac:dyDescent="0.15">
      <c r="A131" s="104" t="s">
        <v>126</v>
      </c>
      <c r="B131" s="104"/>
      <c r="C131" s="104"/>
      <c r="D131" s="104"/>
      <c r="E131" s="104"/>
      <c r="F131" s="104"/>
      <c r="G131" s="104"/>
    </row>
    <row r="132" spans="1:7" x14ac:dyDescent="0.15">
      <c r="A132" s="104"/>
      <c r="B132" s="104"/>
      <c r="C132" s="104"/>
      <c r="D132" s="104"/>
      <c r="E132" s="104"/>
      <c r="F132" s="104"/>
      <c r="G132" s="104"/>
    </row>
    <row r="133" spans="1:7" x14ac:dyDescent="0.15">
      <c r="A133" s="111"/>
      <c r="B133" s="111"/>
      <c r="C133" s="111"/>
      <c r="D133" s="111"/>
      <c r="E133" s="111"/>
      <c r="F133" s="111"/>
      <c r="G133" s="111"/>
    </row>
    <row r="136" spans="1:7" x14ac:dyDescent="0.15">
      <c r="A136" s="2" t="s">
        <v>127</v>
      </c>
      <c r="E136" s="2" t="s">
        <v>128</v>
      </c>
    </row>
    <row r="139" spans="1:7" x14ac:dyDescent="0.15">
      <c r="A139" s="33"/>
      <c r="B139" s="33"/>
      <c r="C139" s="33"/>
      <c r="E139" s="33"/>
      <c r="F139" s="33"/>
      <c r="G139" s="33"/>
    </row>
    <row r="140" spans="1:7" x14ac:dyDescent="0.15">
      <c r="A140" s="2" t="s">
        <v>129</v>
      </c>
      <c r="E140" s="2" t="s">
        <v>129</v>
      </c>
    </row>
    <row r="141" spans="1:7" x14ac:dyDescent="0.15">
      <c r="A141" s="2" t="s">
        <v>130</v>
      </c>
      <c r="E141" s="2" t="s">
        <v>131</v>
      </c>
    </row>
    <row r="144" spans="1:7" x14ac:dyDescent="0.15">
      <c r="A144" s="2" t="s">
        <v>132</v>
      </c>
    </row>
    <row r="145" spans="1:3" x14ac:dyDescent="0.15"/>
    <row r="146" spans="1:3" x14ac:dyDescent="0.15"/>
    <row r="147" spans="1:3" x14ac:dyDescent="0.15">
      <c r="A147" s="33"/>
      <c r="B147" s="33"/>
      <c r="C147" s="33"/>
    </row>
    <row r="148" spans="1:3" x14ac:dyDescent="0.15">
      <c r="A148" s="2" t="s">
        <v>129</v>
      </c>
    </row>
    <row r="149" spans="1:3" x14ac:dyDescent="0.15">
      <c r="A149" s="2" t="s">
        <v>133</v>
      </c>
    </row>
  </sheetData>
  <mergeCells count="78">
    <mergeCell ref="A131:G131"/>
    <mergeCell ref="A132:G132"/>
    <mergeCell ref="A133:G133"/>
    <mergeCell ref="A110:C110"/>
    <mergeCell ref="A111:C111"/>
    <mergeCell ref="A119:G119"/>
    <mergeCell ref="A126:G126"/>
    <mergeCell ref="A130:G130"/>
    <mergeCell ref="A105:C105"/>
    <mergeCell ref="A106:C106"/>
    <mergeCell ref="A107:C107"/>
    <mergeCell ref="A108:C108"/>
    <mergeCell ref="A109:C109"/>
    <mergeCell ref="A100:C100"/>
    <mergeCell ref="A101:C101"/>
    <mergeCell ref="A102:C102"/>
    <mergeCell ref="A103:C103"/>
    <mergeCell ref="A104:C104"/>
    <mergeCell ref="A95:C95"/>
    <mergeCell ref="A96:C96"/>
    <mergeCell ref="A97:C97"/>
    <mergeCell ref="A98:C98"/>
    <mergeCell ref="A99:C99"/>
    <mergeCell ref="A90:C90"/>
    <mergeCell ref="A91:C91"/>
    <mergeCell ref="A92:C92"/>
    <mergeCell ref="A93:C93"/>
    <mergeCell ref="A94:C94"/>
    <mergeCell ref="A85:C85"/>
    <mergeCell ref="A86:C86"/>
    <mergeCell ref="A87:C87"/>
    <mergeCell ref="A88:C88"/>
    <mergeCell ref="A89:C89"/>
    <mergeCell ref="A80:C80"/>
    <mergeCell ref="A81:C81"/>
    <mergeCell ref="A82:C82"/>
    <mergeCell ref="A83:C83"/>
    <mergeCell ref="A84:C84"/>
    <mergeCell ref="A75:C75"/>
    <mergeCell ref="A76:C76"/>
    <mergeCell ref="A77:C77"/>
    <mergeCell ref="A78:C78"/>
    <mergeCell ref="A79:C79"/>
    <mergeCell ref="A70:C70"/>
    <mergeCell ref="A71:C71"/>
    <mergeCell ref="A72:C72"/>
    <mergeCell ref="A73:C73"/>
    <mergeCell ref="A74:C74"/>
    <mergeCell ref="A65:C65"/>
    <mergeCell ref="A66:C66"/>
    <mergeCell ref="A67:C67"/>
    <mergeCell ref="A68:C68"/>
    <mergeCell ref="A69:C69"/>
    <mergeCell ref="A60:C60"/>
    <mergeCell ref="A61:C61"/>
    <mergeCell ref="A62:C62"/>
    <mergeCell ref="A63:C63"/>
    <mergeCell ref="A64:C64"/>
    <mergeCell ref="A55:C55"/>
    <mergeCell ref="A56:C56"/>
    <mergeCell ref="A57:C57"/>
    <mergeCell ref="A58:C58"/>
    <mergeCell ref="A59:C59"/>
    <mergeCell ref="A50:C50"/>
    <mergeCell ref="A51:C51"/>
    <mergeCell ref="A52:C52"/>
    <mergeCell ref="A53:C53"/>
    <mergeCell ref="A54:C54"/>
    <mergeCell ref="B45:C45"/>
    <mergeCell ref="A46:C46"/>
    <mergeCell ref="A47:C47"/>
    <mergeCell ref="A48:C48"/>
    <mergeCell ref="A49:C49"/>
    <mergeCell ref="B1:F1"/>
    <mergeCell ref="B2:F2"/>
    <mergeCell ref="A3:G3"/>
    <mergeCell ref="F6:G6"/>
    <mergeCell ref="F7:G7"/>
  </mergeCells>
  <conditionalFormatting sqref="D4">
    <cfRule type="expression" dxfId="5" priority="5" stopIfTrue="1">
      <formula>G5&lt;=TODAY()</formula>
    </cfRule>
  </conditionalFormatting>
  <conditionalFormatting sqref="B11 B23">
    <cfRule type="expression" dxfId="4" priority="1" stopIfTrue="1">
      <formula>G11=0</formula>
    </cfRule>
  </conditionalFormatting>
  <conditionalFormatting sqref="G11 G23">
    <cfRule type="expression" dxfId="3" priority="4" stopIfTrue="1">
      <formula>G11=0</formula>
    </cfRule>
  </conditionalFormatting>
  <conditionalFormatting sqref="A47:C54">
    <cfRule type="expression" dxfId="2" priority="2" stopIfTrue="1">
      <formula>VALUE(NoDPSchedule)&lt;VALUE(LEFT(A47,1))</formula>
    </cfRule>
  </conditionalFormatting>
  <conditionalFormatting sqref="A55:C111">
    <cfRule type="expression" dxfId="1" priority="3" stopIfTrue="1">
      <formula>VALUE(NoDPSchedule)&lt;VALUE(LEFT(A55,2))</formula>
    </cfRule>
  </conditionalFormatting>
  <printOptions horizontalCentered="1"/>
  <pageMargins left="0.25" right="0.25" top="0.5" bottom="0.5" header="0.5" footer="0.5"/>
  <pageSetup paperSize="5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221"/>
  <sheetViews>
    <sheetView workbookViewId="0">
      <selection activeCell="A4" sqref="A4:G4"/>
    </sheetView>
  </sheetViews>
  <sheetFormatPr defaultColWidth="12.37109375" defaultRowHeight="12.75" customHeight="1" x14ac:dyDescent="0.15"/>
  <cols>
    <col min="1" max="1" width="12.37109375" style="2"/>
    <col min="2" max="2" width="13.12109375" style="2" customWidth="1"/>
    <col min="3" max="3" width="17.62109375" style="2" customWidth="1"/>
    <col min="4" max="4" width="13.62109375" style="2" customWidth="1"/>
    <col min="5" max="5" width="14.62109375" style="2" customWidth="1"/>
    <col min="6" max="6" width="17.37109375" style="2" customWidth="1"/>
    <col min="7" max="7" width="18.37109375" style="2" customWidth="1"/>
    <col min="8" max="8" width="13.12109375" style="2" customWidth="1"/>
    <col min="9" max="16384" width="12.37109375" style="2"/>
  </cols>
  <sheetData>
    <row r="2" spans="1:8" ht="14.25" customHeight="1" x14ac:dyDescent="0.15">
      <c r="A2" s="3"/>
      <c r="B2" s="95" t="str">
        <f>'10%SFDP &amp; 10% - 48MONS'!B1</f>
        <v>AVIDA LAND CORP.</v>
      </c>
      <c r="C2" s="95"/>
      <c r="D2" s="95"/>
      <c r="E2" s="95"/>
      <c r="F2" s="95"/>
      <c r="G2" s="34"/>
    </row>
    <row r="3" spans="1:8" ht="14.25" customHeight="1" x14ac:dyDescent="0.15">
      <c r="A3" s="4"/>
      <c r="B3" s="96" t="str">
        <f>'10%SFDP &amp; 10% - 48MONS'!B2</f>
        <v>CUSTOMER SERVICE UNIT</v>
      </c>
      <c r="C3" s="96"/>
      <c r="D3" s="96"/>
      <c r="E3" s="96"/>
      <c r="F3" s="96"/>
      <c r="G3" s="35"/>
    </row>
    <row r="4" spans="1:8" ht="30" customHeight="1" x14ac:dyDescent="0.15">
      <c r="A4" s="97" t="str">
        <f>'10%SFDP &amp; 10% - 48MONS'!A3</f>
        <v>SOLARA PARK STOREYS NUVALI</v>
      </c>
      <c r="B4" s="98"/>
      <c r="C4" s="98"/>
      <c r="D4" s="98"/>
      <c r="E4" s="98"/>
      <c r="F4" s="98"/>
      <c r="G4" s="99"/>
    </row>
    <row r="5" spans="1:8" ht="13.5" customHeight="1" x14ac:dyDescent="0.15">
      <c r="A5" s="5"/>
      <c r="B5" s="6"/>
      <c r="C5" s="6"/>
      <c r="D5" s="7" t="str">
        <f>Mode</f>
        <v>SAMPLE COMPUTATION ONLY</v>
      </c>
      <c r="E5" s="6"/>
      <c r="F5" s="6"/>
      <c r="G5" s="36"/>
    </row>
    <row r="6" spans="1:8" ht="13.5" customHeight="1" x14ac:dyDescent="0.15">
      <c r="G6" s="37">
        <v>24</v>
      </c>
    </row>
    <row r="7" spans="1:8" x14ac:dyDescent="0.15">
      <c r="A7" s="8" t="s">
        <v>4</v>
      </c>
      <c r="B7" s="8" t="s">
        <v>5</v>
      </c>
      <c r="C7" s="8" t="s">
        <v>6</v>
      </c>
      <c r="D7" s="8" t="s">
        <v>7</v>
      </c>
      <c r="E7" s="8"/>
      <c r="F7" s="100" t="s">
        <v>8</v>
      </c>
      <c r="G7" s="100"/>
    </row>
    <row r="8" spans="1:8" x14ac:dyDescent="0.15">
      <c r="A8" s="9" t="str">
        <f>Tower</f>
        <v>1</v>
      </c>
      <c r="B8" s="9" t="str">
        <f>Unit</f>
        <v>30</v>
      </c>
      <c r="C8" s="9" t="str">
        <f>Floor</f>
        <v>7</v>
      </c>
      <c r="D8" s="9" t="str">
        <f>FloorArea</f>
        <v>26.50</v>
      </c>
      <c r="E8" s="9"/>
      <c r="F8" s="101" t="str">
        <f>'10%SFDP &amp; 10% - 48MONS'!F7</f>
        <v>STUDIO W/ BALCONY</v>
      </c>
      <c r="G8" s="101"/>
    </row>
    <row r="11" spans="1:8" x14ac:dyDescent="0.15">
      <c r="A11" s="112" t="s">
        <v>134</v>
      </c>
      <c r="B11" s="113"/>
      <c r="C11" s="113"/>
      <c r="D11" s="113"/>
      <c r="E11" s="113"/>
      <c r="F11" s="113"/>
      <c r="G11" s="114"/>
    </row>
    <row r="12" spans="1:8" x14ac:dyDescent="0.15">
      <c r="A12" s="10"/>
      <c r="B12" s="11" t="s">
        <v>135</v>
      </c>
      <c r="C12" s="10"/>
      <c r="D12" s="10"/>
      <c r="E12" s="10"/>
      <c r="F12" s="10"/>
      <c r="G12" s="38">
        <f>('10%SFDP &amp; 10% - 48MONS'!G22+'10%SFDP &amp; 10% - 48MONS'!G23)-'10%SFDP &amp; 10% - 48MONS'!G31</f>
        <v>4143743.9942857148</v>
      </c>
    </row>
    <row r="13" spans="1:8" x14ac:dyDescent="0.15">
      <c r="A13" s="10"/>
      <c r="B13" s="12" t="s">
        <v>29</v>
      </c>
      <c r="C13" s="10"/>
      <c r="D13" s="10"/>
      <c r="E13" s="10"/>
      <c r="F13" s="10"/>
      <c r="G13" s="38">
        <f>'10%SFDP &amp; 10% - 48MONS'!G27-'10%SFDP &amp; 10% - 48MONS'!G32</f>
        <v>258983.99990000005</v>
      </c>
    </row>
    <row r="14" spans="1:8" x14ac:dyDescent="0.15">
      <c r="A14" s="10"/>
      <c r="B14" s="10" t="s">
        <v>136</v>
      </c>
      <c r="C14" s="10"/>
      <c r="D14" s="10"/>
      <c r="E14" s="10"/>
      <c r="F14" s="39">
        <f ca="1">'10%SFDP &amp; 10% - 48MONS'!F115</f>
        <v>46708</v>
      </c>
      <c r="G14" s="40">
        <f>SUM(G12:G13)</f>
        <v>4402727.994185715</v>
      </c>
    </row>
    <row r="15" spans="1:8" x14ac:dyDescent="0.15">
      <c r="A15" s="1"/>
    </row>
    <row r="16" spans="1:8" s="1" customFormat="1" x14ac:dyDescent="0.15">
      <c r="A16" s="13" t="s">
        <v>137</v>
      </c>
      <c r="B16" s="13" t="s">
        <v>138</v>
      </c>
      <c r="C16" s="13" t="s">
        <v>139</v>
      </c>
      <c r="D16" s="13" t="s">
        <v>140</v>
      </c>
      <c r="E16" s="13" t="s">
        <v>141</v>
      </c>
      <c r="F16" s="13" t="s">
        <v>41</v>
      </c>
      <c r="G16" s="13" t="s">
        <v>142</v>
      </c>
      <c r="H16" s="41"/>
    </row>
    <row r="17" spans="1:8" x14ac:dyDescent="0.15">
      <c r="A17" s="14" t="s">
        <v>143</v>
      </c>
      <c r="B17" s="15">
        <v>6.5000000000000002E-2</v>
      </c>
      <c r="C17" s="16">
        <f>-ROUND(PMT(B17/12,60,1),7)</f>
        <v>1.9566099999999999E-2</v>
      </c>
      <c r="D17" s="17">
        <f ca="1">DATE(YEAR(F14),MONTH(F14)+1,DAY(F14))</f>
        <v>46738</v>
      </c>
      <c r="E17" s="17">
        <f ca="1">DATE(YEAR(F14)+5,MONTH(F14),DAY(F14))</f>
        <v>48535</v>
      </c>
      <c r="F17" s="42">
        <f>ROUND($G$14*C17,2)</f>
        <v>86144.22</v>
      </c>
      <c r="G17" s="43">
        <f>F17/40%</f>
        <v>215360.55</v>
      </c>
      <c r="H17" s="44"/>
    </row>
    <row r="18" spans="1:8" x14ac:dyDescent="0.15">
      <c r="A18" s="14" t="s">
        <v>144</v>
      </c>
      <c r="B18" s="15">
        <v>8.5000000000000006E-2</v>
      </c>
      <c r="C18" s="16">
        <f>-ROUND(PMT(B18/12,120,1),7)</f>
        <v>1.2398599999999999E-2</v>
      </c>
      <c r="D18" s="17">
        <f ca="1">D17</f>
        <v>46738</v>
      </c>
      <c r="E18" s="17">
        <f ca="1">DATE(YEAR($F$14)+10,MONTH($F$14),DAY($F$14))</f>
        <v>50361</v>
      </c>
      <c r="F18" s="42">
        <f>ROUND($G$14*C18,2)</f>
        <v>54587.66</v>
      </c>
      <c r="G18" s="43">
        <f>F18/40%</f>
        <v>136469.15</v>
      </c>
    </row>
    <row r="19" spans="1:8" x14ac:dyDescent="0.15">
      <c r="A19" s="14" t="s">
        <v>145</v>
      </c>
      <c r="B19" s="15">
        <v>9.2499999999999999E-2</v>
      </c>
      <c r="C19" s="16">
        <f>-ROUND(PMT(B19/12,180,1),7)</f>
        <v>1.02919E-2</v>
      </c>
      <c r="D19" s="17">
        <f ca="1">D18</f>
        <v>46738</v>
      </c>
      <c r="E19" s="17">
        <f ca="1">DATE(YEAR($F$14)+15,MONTH($F$14),DAY($F$14))</f>
        <v>52187</v>
      </c>
      <c r="F19" s="42">
        <f>ROUND($G$14*C19,2)</f>
        <v>45312.44</v>
      </c>
      <c r="G19" s="43">
        <f>F19/40%</f>
        <v>113281.1</v>
      </c>
    </row>
    <row r="20" spans="1:8" x14ac:dyDescent="0.15">
      <c r="A20" s="14" t="s">
        <v>146</v>
      </c>
      <c r="B20" s="15">
        <v>9.7500000000000003E-2</v>
      </c>
      <c r="C20" s="16">
        <f>-ROUND(PMT(B20/12,240,1),7)</f>
        <v>9.4851999999999992E-3</v>
      </c>
      <c r="D20" s="17">
        <f ca="1">D19</f>
        <v>46738</v>
      </c>
      <c r="E20" s="17">
        <f ca="1">DATE(YEAR($F$14)+20,MONTH($F$14),DAY($F$14))</f>
        <v>54013</v>
      </c>
      <c r="F20" s="42">
        <f>ROUND($G$14*C20,2)</f>
        <v>41760.76</v>
      </c>
      <c r="G20" s="43">
        <f>F20/40%</f>
        <v>104401.9</v>
      </c>
    </row>
    <row r="21" spans="1:8" x14ac:dyDescent="0.15">
      <c r="A21" s="14" t="s">
        <v>147</v>
      </c>
      <c r="B21" s="15">
        <v>9.7500000000000003E-2</v>
      </c>
      <c r="C21" s="16">
        <f>-ROUND(PMT(B21/12,300,1),7)</f>
        <v>8.9113999999999999E-3</v>
      </c>
      <c r="D21" s="17">
        <f ca="1">D20</f>
        <v>46738</v>
      </c>
      <c r="E21" s="17">
        <f ca="1">DATE(YEAR($F$14)+25,MONTH($F$14),DAY($F$14))</f>
        <v>55840</v>
      </c>
      <c r="F21" s="42">
        <f>ROUND($G$14*C21,2)</f>
        <v>39234.47</v>
      </c>
      <c r="G21" s="43">
        <f>F21/40%</f>
        <v>98086.175000000003</v>
      </c>
    </row>
    <row r="22" spans="1:8" x14ac:dyDescent="0.15">
      <c r="B22" s="12"/>
      <c r="G22" s="41"/>
    </row>
    <row r="23" spans="1:8" x14ac:dyDescent="0.15">
      <c r="A23" s="112" t="s">
        <v>148</v>
      </c>
      <c r="B23" s="113"/>
      <c r="C23" s="113"/>
      <c r="D23" s="113"/>
      <c r="E23" s="113"/>
      <c r="F23" s="113"/>
      <c r="G23" s="114"/>
    </row>
    <row r="24" spans="1:8" x14ac:dyDescent="0.15">
      <c r="A24" s="18"/>
      <c r="B24" s="12"/>
      <c r="D24" s="19"/>
      <c r="E24" s="39"/>
      <c r="F24" s="39"/>
      <c r="G24" s="41"/>
    </row>
    <row r="25" spans="1:8" x14ac:dyDescent="0.15">
      <c r="A25" s="115" t="str">
        <f>"5 Years In-house Financing with Remaining "&amp;A26&amp;"months at "&amp;ROUND(A30*100,2)&amp;"% interest"</f>
        <v>5 Years In-house Financing with Remaining 11months at 12% interest</v>
      </c>
      <c r="B25" s="116"/>
      <c r="C25" s="116"/>
      <c r="D25" s="116"/>
      <c r="E25" s="116"/>
      <c r="F25" s="116"/>
      <c r="G25" s="117"/>
    </row>
    <row r="26" spans="1:8" x14ac:dyDescent="0.15">
      <c r="A26" s="20">
        <f>60-A28</f>
        <v>11</v>
      </c>
      <c r="B26" s="11" t="s">
        <v>135</v>
      </c>
      <c r="C26" s="21"/>
      <c r="D26" s="22"/>
      <c r="E26" s="45"/>
      <c r="F26" s="45"/>
      <c r="G26" s="46">
        <f>G12</f>
        <v>4143743.9942857148</v>
      </c>
    </row>
    <row r="27" spans="1:8" x14ac:dyDescent="0.15">
      <c r="A27" s="23">
        <f>60-A28</f>
        <v>11</v>
      </c>
      <c r="B27" s="12" t="s">
        <v>29</v>
      </c>
      <c r="D27" s="19"/>
      <c r="E27" s="39"/>
      <c r="F27" s="39"/>
      <c r="G27" s="47">
        <f>ROUND(('10%SFDP &amp; 10% - 48MONS'!G22*8%)+'10%SFDP &amp; 10% - 48MONS'!F25+ACServiceFee-'10%SFDP &amp; 10% - 48MONS'!G32,2)</f>
        <v>305231.14</v>
      </c>
    </row>
    <row r="28" spans="1:8" x14ac:dyDescent="0.15">
      <c r="A28" s="23">
        <f>NoDPSchedule+1</f>
        <v>49</v>
      </c>
      <c r="B28" s="24" t="s">
        <v>149</v>
      </c>
      <c r="D28" s="19"/>
      <c r="E28" s="39"/>
      <c r="F28" s="39"/>
      <c r="G28" s="48">
        <f>SUM(G26:G27)</f>
        <v>4448975.1342857145</v>
      </c>
    </row>
    <row r="29" spans="1:8" x14ac:dyDescent="0.15">
      <c r="A29" s="23"/>
      <c r="B29" s="24"/>
      <c r="D29" s="19"/>
      <c r="E29" s="39"/>
      <c r="F29" s="39"/>
      <c r="G29" s="48"/>
    </row>
    <row r="30" spans="1:8" x14ac:dyDescent="0.15">
      <c r="A30" s="25">
        <v>0.12</v>
      </c>
      <c r="B30" s="12" t="s">
        <v>139</v>
      </c>
      <c r="C30" s="19">
        <f>-ROUND(PMT(A30/12,A26,1),7)</f>
        <v>9.6454100000000001E-2</v>
      </c>
      <c r="D30" s="19"/>
      <c r="E30" s="49"/>
      <c r="F30" s="39"/>
      <c r="G30" s="48"/>
    </row>
    <row r="31" spans="1:8" x14ac:dyDescent="0.15">
      <c r="A31" s="25"/>
      <c r="B31" s="12" t="s">
        <v>142</v>
      </c>
      <c r="C31" s="26">
        <f>E34/40%</f>
        <v>1068573.4749999999</v>
      </c>
      <c r="D31" s="19"/>
      <c r="E31" s="49"/>
      <c r="F31" s="39"/>
      <c r="G31" s="48"/>
    </row>
    <row r="32" spans="1:8" x14ac:dyDescent="0.15">
      <c r="A32" s="126" t="s">
        <v>150</v>
      </c>
      <c r="B32" s="127"/>
      <c r="C32" s="124" t="s">
        <v>151</v>
      </c>
      <c r="D32" s="124" t="s">
        <v>29</v>
      </c>
      <c r="E32" s="124" t="s">
        <v>152</v>
      </c>
      <c r="F32" s="118" t="s">
        <v>153</v>
      </c>
      <c r="G32" s="119"/>
    </row>
    <row r="33" spans="1:10" x14ac:dyDescent="0.15">
      <c r="A33" s="128"/>
      <c r="B33" s="129"/>
      <c r="C33" s="125"/>
      <c r="D33" s="125"/>
      <c r="E33" s="125"/>
      <c r="F33" s="50" t="s">
        <v>140</v>
      </c>
      <c r="G33" s="50" t="s">
        <v>141</v>
      </c>
    </row>
    <row r="34" spans="1:10" x14ac:dyDescent="0.15">
      <c r="A34" s="120" t="str">
        <f>CONCATENATE(A28+2,"th-59th Payment")</f>
        <v>51th-59th Payment</v>
      </c>
      <c r="B34" s="121"/>
      <c r="C34" s="27">
        <f>ROUND((G26*C30),2)</f>
        <v>399681.1</v>
      </c>
      <c r="D34" s="28">
        <f>ROUND(G27/A27,2)</f>
        <v>27748.29</v>
      </c>
      <c r="E34" s="51">
        <f>SUM(C34:D34)</f>
        <v>427429.38999999996</v>
      </c>
      <c r="F34" s="17">
        <f ca="1">D17</f>
        <v>46738</v>
      </c>
      <c r="G34" s="52">
        <f ca="1">DATE(YEAR(F34),MONTH(F34)+(60-A28-3),DAY(F34))</f>
        <v>46982</v>
      </c>
      <c r="I34" s="39"/>
      <c r="J34" s="53"/>
    </row>
    <row r="35" spans="1:10" x14ac:dyDescent="0.15">
      <c r="A35" s="122" t="s">
        <v>154</v>
      </c>
      <c r="B35" s="123"/>
      <c r="C35" s="27">
        <f>C34</f>
        <v>399681.1</v>
      </c>
      <c r="D35" s="28">
        <f>G27-(D34*(A27-1))</f>
        <v>27748.239999999991</v>
      </c>
      <c r="E35" s="51">
        <f>SUM(C35:D35)</f>
        <v>427429.33999999997</v>
      </c>
      <c r="F35" s="52">
        <f ca="1">DATE(YEAR(F34),MONTH(F34)+(60-A28-2),DAY(F34))</f>
        <v>47013</v>
      </c>
      <c r="G35" s="52"/>
      <c r="I35" s="53"/>
      <c r="J35" s="53"/>
    </row>
    <row r="36" spans="1:10" x14ac:dyDescent="0.15">
      <c r="A36" s="1"/>
      <c r="B36" s="24"/>
      <c r="D36" s="19"/>
      <c r="E36" s="39"/>
      <c r="F36" s="39"/>
      <c r="G36" s="41"/>
    </row>
    <row r="37" spans="1:10" x14ac:dyDescent="0.15">
      <c r="A37" s="29" t="s">
        <v>113</v>
      </c>
      <c r="B37" s="30"/>
      <c r="C37" s="30"/>
      <c r="D37" s="30"/>
    </row>
    <row r="38" spans="1:10" x14ac:dyDescent="0.15">
      <c r="A38" s="104" t="str">
        <f>'10%SFDP &amp; 10% - 48MONS'!A119</f>
        <v>1.   In the event of an increase in Other Charges, AVIDA LAND CORP. has the right to charge the</v>
      </c>
      <c r="B38" s="104"/>
      <c r="C38" s="104"/>
      <c r="D38" s="104"/>
      <c r="E38" s="104"/>
      <c r="F38" s="104"/>
      <c r="G38" s="104"/>
    </row>
    <row r="39" spans="1:10" x14ac:dyDescent="0.15">
      <c r="A39" s="30" t="str">
        <f>'10%SFDP &amp; 10% - 48MONS'!A120</f>
        <v xml:space="preserve">      Purchaser as mandated in the CTS &amp; DAS.</v>
      </c>
      <c r="B39" s="30"/>
      <c r="C39" s="30"/>
      <c r="D39" s="30"/>
    </row>
    <row r="40" spans="1:10" x14ac:dyDescent="0.15">
      <c r="A40" s="30" t="str">
        <f>'10%SFDP &amp; 10% - 48MONS'!A121</f>
        <v xml:space="preserve">2.   Discounts are conditioned upon the Buyer’s  timely compliance with all his obligations, including </v>
      </c>
      <c r="B40" s="30"/>
      <c r="C40" s="30"/>
      <c r="D40" s="30"/>
      <c r="J40" s="39"/>
    </row>
    <row r="41" spans="1:10" x14ac:dyDescent="0.15">
      <c r="A41" s="30" t="str">
        <f>'10%SFDP &amp; 10% - 48MONS'!A122</f>
        <v xml:space="preserve">      payments and transmittal of required documents.</v>
      </c>
      <c r="B41" s="30"/>
      <c r="C41" s="30"/>
      <c r="D41" s="30"/>
      <c r="J41" s="39"/>
    </row>
    <row r="42" spans="1:10" x14ac:dyDescent="0.15">
      <c r="A42" s="31" t="str">
        <f>'10%SFDP &amp; 10% - 48MONS'!A123</f>
        <v xml:space="preserve">3.   Delay in any payment is an event of default entitling the Seller to exercise remedial options, which include collection of </v>
      </c>
      <c r="B42" s="30"/>
      <c r="C42" s="30"/>
      <c r="D42" s="30"/>
      <c r="J42" s="39"/>
    </row>
    <row r="43" spans="1:10" x14ac:dyDescent="0.15">
      <c r="A43" s="31" t="str">
        <f>'10%SFDP &amp; 10% - 48MONS'!A124</f>
        <v xml:space="preserve">      penalty  at the rate of two percent (2%) of the unpaid amount for every month (or a fraction thereof) of delay as </v>
      </c>
      <c r="B43" s="30"/>
      <c r="C43" s="30"/>
      <c r="D43" s="30"/>
      <c r="J43" s="39"/>
    </row>
    <row r="44" spans="1:10" x14ac:dyDescent="0.15">
      <c r="A44" s="31" t="str">
        <f>'10%SFDP &amp; 10% - 48MONS'!A125</f>
        <v xml:space="preserve">      specified under Sec 4(ii) of the RA and Sec 4.2 of the CTS</v>
      </c>
      <c r="B44" s="30"/>
      <c r="C44" s="30"/>
      <c r="D44" s="30"/>
      <c r="J44" s="39"/>
    </row>
    <row r="45" spans="1:10" x14ac:dyDescent="0.15">
      <c r="A45" s="31" t="e">
        <f>'10%SFDP &amp; 10% - 48MONS'!#REF!</f>
        <v>#REF!</v>
      </c>
      <c r="B45" s="30"/>
      <c r="C45" s="30"/>
      <c r="D45" s="30"/>
      <c r="J45" s="39"/>
    </row>
    <row r="46" spans="1:10" x14ac:dyDescent="0.15">
      <c r="A46" s="31" t="e">
        <f>'10%SFDP &amp; 10% - 48MONS'!#REF!</f>
        <v>#REF!</v>
      </c>
      <c r="B46" s="30"/>
      <c r="C46" s="30"/>
      <c r="D46" s="30"/>
      <c r="J46" s="39"/>
    </row>
    <row r="47" spans="1:10" x14ac:dyDescent="0.15">
      <c r="A47" s="104" t="str">
        <f>'10%SFDP &amp; 10% - 48MONS'!A131</f>
        <v>5.   All payments covering the due dates and amounts above should be made payable to AVIDA LAND CORP..</v>
      </c>
      <c r="B47" s="104"/>
      <c r="C47" s="104"/>
      <c r="D47" s="104"/>
      <c r="E47" s="104"/>
      <c r="F47" s="104"/>
      <c r="G47" s="104"/>
      <c r="J47" s="39"/>
    </row>
    <row r="48" spans="1:10" x14ac:dyDescent="0.15">
      <c r="A48" s="104"/>
      <c r="B48" s="104"/>
      <c r="C48" s="104"/>
      <c r="D48" s="104"/>
      <c r="E48" s="104"/>
      <c r="F48" s="104"/>
      <c r="G48" s="104"/>
      <c r="J48" s="39"/>
    </row>
    <row r="49" spans="1:10" x14ac:dyDescent="0.15">
      <c r="A49" s="111"/>
      <c r="B49" s="111"/>
      <c r="C49" s="111"/>
      <c r="D49" s="111"/>
      <c r="E49" s="111"/>
      <c r="F49" s="111"/>
      <c r="G49" s="111"/>
      <c r="J49" s="39"/>
    </row>
    <row r="50" spans="1:10" x14ac:dyDescent="0.15">
      <c r="J50" s="39"/>
    </row>
    <row r="51" spans="1:10" x14ac:dyDescent="0.15">
      <c r="J51" s="39"/>
    </row>
    <row r="52" spans="1:10" x14ac:dyDescent="0.15">
      <c r="A52" s="2" t="s">
        <v>127</v>
      </c>
      <c r="E52" s="2" t="s">
        <v>128</v>
      </c>
      <c r="J52" s="39"/>
    </row>
    <row r="53" spans="1:10" x14ac:dyDescent="0.15">
      <c r="J53" s="39"/>
    </row>
    <row r="54" spans="1:10" x14ac:dyDescent="0.15">
      <c r="J54" s="39"/>
    </row>
    <row r="55" spans="1:10" x14ac:dyDescent="0.15">
      <c r="A55" s="33"/>
      <c r="B55" s="33"/>
      <c r="C55" s="33"/>
      <c r="E55" s="33"/>
      <c r="F55" s="33"/>
      <c r="G55" s="33"/>
      <c r="J55" s="39"/>
    </row>
    <row r="56" spans="1:10" x14ac:dyDescent="0.15">
      <c r="A56" s="2" t="s">
        <v>129</v>
      </c>
      <c r="E56" s="2" t="s">
        <v>129</v>
      </c>
      <c r="J56" s="39"/>
    </row>
    <row r="57" spans="1:10" x14ac:dyDescent="0.15">
      <c r="A57" s="2" t="s">
        <v>130</v>
      </c>
      <c r="E57" s="2" t="s">
        <v>131</v>
      </c>
      <c r="J57" s="39"/>
    </row>
    <row r="58" spans="1:10" x14ac:dyDescent="0.15">
      <c r="J58" s="39"/>
    </row>
    <row r="59" spans="1:10" x14ac:dyDescent="0.15">
      <c r="J59" s="39"/>
    </row>
    <row r="60" spans="1:10" x14ac:dyDescent="0.15">
      <c r="A60" s="2" t="s">
        <v>132</v>
      </c>
      <c r="J60" s="39"/>
    </row>
    <row r="61" spans="1:10" x14ac:dyDescent="0.15">
      <c r="J61" s="39"/>
    </row>
    <row r="62" spans="1:10" x14ac:dyDescent="0.15">
      <c r="J62" s="39"/>
    </row>
    <row r="63" spans="1:10" x14ac:dyDescent="0.15">
      <c r="A63" s="33"/>
      <c r="B63" s="33"/>
      <c r="C63" s="33"/>
      <c r="J63" s="39"/>
    </row>
    <row r="64" spans="1:10" x14ac:dyDescent="0.15">
      <c r="A64" s="2" t="s">
        <v>129</v>
      </c>
      <c r="J64" s="39"/>
    </row>
    <row r="65" spans="1:10" x14ac:dyDescent="0.15">
      <c r="A65" s="2" t="s">
        <v>133</v>
      </c>
      <c r="J65" s="39"/>
    </row>
    <row r="66" spans="1:10" x14ac:dyDescent="0.15">
      <c r="J66" s="39"/>
    </row>
    <row r="67" spans="1:10" x14ac:dyDescent="0.15">
      <c r="J67" s="39"/>
    </row>
    <row r="68" spans="1:10" x14ac:dyDescent="0.15">
      <c r="J68" s="39"/>
    </row>
    <row r="69" spans="1:10" x14ac:dyDescent="0.15">
      <c r="J69" s="39"/>
    </row>
    <row r="70" spans="1:10" x14ac:dyDescent="0.15">
      <c r="J70" s="39"/>
    </row>
    <row r="71" spans="1:10" x14ac:dyDescent="0.15">
      <c r="J71" s="39"/>
    </row>
    <row r="72" spans="1:10" x14ac:dyDescent="0.15">
      <c r="J72" s="39"/>
    </row>
    <row r="73" spans="1:10" x14ac:dyDescent="0.15">
      <c r="J73" s="39"/>
    </row>
    <row r="74" spans="1:10" x14ac:dyDescent="0.15">
      <c r="J74" s="39"/>
    </row>
    <row r="75" spans="1:10" x14ac:dyDescent="0.15">
      <c r="J75" s="39"/>
    </row>
    <row r="76" spans="1:10" x14ac:dyDescent="0.15">
      <c r="J76" s="39"/>
    </row>
    <row r="77" spans="1:10" x14ac:dyDescent="0.15">
      <c r="J77" s="39"/>
    </row>
    <row r="78" spans="1:10" x14ac:dyDescent="0.15">
      <c r="I78" s="54"/>
      <c r="J78" s="39"/>
    </row>
    <row r="79" spans="1:10" x14ac:dyDescent="0.15">
      <c r="J79" s="39"/>
    </row>
    <row r="80" spans="1:10" x14ac:dyDescent="0.15">
      <c r="J80" s="39"/>
    </row>
    <row r="81" spans="10:10" x14ac:dyDescent="0.15">
      <c r="J81" s="39"/>
    </row>
    <row r="82" spans="10:10" x14ac:dyDescent="0.15">
      <c r="J82" s="39"/>
    </row>
    <row r="83" spans="10:10" x14ac:dyDescent="0.15">
      <c r="J83" s="39"/>
    </row>
    <row r="84" spans="10:10" x14ac:dyDescent="0.15">
      <c r="J84" s="39"/>
    </row>
    <row r="85" spans="10:10" x14ac:dyDescent="0.15">
      <c r="J85" s="39"/>
    </row>
    <row r="86" spans="10:10" x14ac:dyDescent="0.15">
      <c r="J86" s="39"/>
    </row>
    <row r="87" spans="10:10" x14ac:dyDescent="0.15">
      <c r="J87" s="39"/>
    </row>
    <row r="88" spans="10:10" x14ac:dyDescent="0.15">
      <c r="J88" s="39"/>
    </row>
    <row r="89" spans="10:10" x14ac:dyDescent="0.15">
      <c r="J89" s="39"/>
    </row>
    <row r="90" spans="10:10" x14ac:dyDescent="0.15">
      <c r="J90" s="39"/>
    </row>
    <row r="91" spans="10:10" x14ac:dyDescent="0.15">
      <c r="J91" s="39"/>
    </row>
    <row r="92" spans="10:10" x14ac:dyDescent="0.15">
      <c r="J92" s="39"/>
    </row>
    <row r="93" spans="10:10" x14ac:dyDescent="0.15">
      <c r="J93" s="39"/>
    </row>
    <row r="94" spans="10:10" x14ac:dyDescent="0.15">
      <c r="J94" s="39"/>
    </row>
    <row r="95" spans="10:10" x14ac:dyDescent="0.15">
      <c r="J95" s="39"/>
    </row>
    <row r="96" spans="10:10" x14ac:dyDescent="0.15">
      <c r="J96" s="39"/>
    </row>
    <row r="97" spans="9:10" x14ac:dyDescent="0.15">
      <c r="J97" s="39"/>
    </row>
    <row r="98" spans="9:10" x14ac:dyDescent="0.15">
      <c r="J98" s="39"/>
    </row>
    <row r="99" spans="9:10" x14ac:dyDescent="0.15">
      <c r="J99" s="39"/>
    </row>
    <row r="100" spans="9:10" x14ac:dyDescent="0.15">
      <c r="J100" s="39"/>
    </row>
    <row r="101" spans="9:10" x14ac:dyDescent="0.15">
      <c r="I101" s="54"/>
      <c r="J101" s="39"/>
    </row>
    <row r="102" spans="9:10" x14ac:dyDescent="0.15">
      <c r="J102" s="39"/>
    </row>
    <row r="103" spans="9:10" x14ac:dyDescent="0.15">
      <c r="J103" s="39"/>
    </row>
    <row r="104" spans="9:10" x14ac:dyDescent="0.15">
      <c r="J104" s="39"/>
    </row>
    <row r="105" spans="9:10" x14ac:dyDescent="0.15">
      <c r="J105" s="39"/>
    </row>
    <row r="106" spans="9:10" x14ac:dyDescent="0.15">
      <c r="J106" s="39"/>
    </row>
    <row r="107" spans="9:10" x14ac:dyDescent="0.15">
      <c r="J107" s="39"/>
    </row>
    <row r="108" spans="9:10" x14ac:dyDescent="0.15">
      <c r="J108" s="39"/>
    </row>
    <row r="109" spans="9:10" x14ac:dyDescent="0.15">
      <c r="J109" s="39"/>
    </row>
    <row r="110" spans="9:10" x14ac:dyDescent="0.15">
      <c r="J110" s="39"/>
    </row>
    <row r="111" spans="9:10" x14ac:dyDescent="0.15">
      <c r="J111" s="39"/>
    </row>
    <row r="112" spans="9:10" x14ac:dyDescent="0.15">
      <c r="J112" s="39"/>
    </row>
    <row r="113" spans="9:10" x14ac:dyDescent="0.15">
      <c r="J113" s="39"/>
    </row>
    <row r="114" spans="9:10" x14ac:dyDescent="0.15">
      <c r="J114" s="39"/>
    </row>
    <row r="115" spans="9:10" x14ac:dyDescent="0.15">
      <c r="J115" s="39"/>
    </row>
    <row r="116" spans="9:10" x14ac:dyDescent="0.15">
      <c r="J116" s="39"/>
    </row>
    <row r="117" spans="9:10" x14ac:dyDescent="0.15">
      <c r="J117" s="39"/>
    </row>
    <row r="118" spans="9:10" x14ac:dyDescent="0.15">
      <c r="J118" s="39"/>
    </row>
    <row r="119" spans="9:10" x14ac:dyDescent="0.15">
      <c r="J119" s="39"/>
    </row>
    <row r="120" spans="9:10" x14ac:dyDescent="0.15">
      <c r="J120" s="39"/>
    </row>
    <row r="121" spans="9:10" x14ac:dyDescent="0.15">
      <c r="J121" s="39"/>
    </row>
    <row r="122" spans="9:10" x14ac:dyDescent="0.15">
      <c r="J122" s="39"/>
    </row>
    <row r="123" spans="9:10" x14ac:dyDescent="0.15">
      <c r="J123" s="39"/>
    </row>
    <row r="124" spans="9:10" x14ac:dyDescent="0.15">
      <c r="J124" s="39"/>
    </row>
    <row r="125" spans="9:10" x14ac:dyDescent="0.15">
      <c r="I125" s="54"/>
      <c r="J125" s="39"/>
    </row>
    <row r="126" spans="9:10" x14ac:dyDescent="0.15">
      <c r="J126" s="39"/>
    </row>
    <row r="127" spans="9:10" x14ac:dyDescent="0.15">
      <c r="J127" s="39"/>
    </row>
    <row r="128" spans="9:10" x14ac:dyDescent="0.15">
      <c r="J128" s="39"/>
    </row>
    <row r="129" spans="10:10" x14ac:dyDescent="0.15">
      <c r="J129" s="39"/>
    </row>
    <row r="130" spans="10:10" x14ac:dyDescent="0.15">
      <c r="J130" s="39"/>
    </row>
    <row r="131" spans="10:10" x14ac:dyDescent="0.15">
      <c r="J131" s="39"/>
    </row>
    <row r="132" spans="10:10" x14ac:dyDescent="0.15">
      <c r="J132" s="39"/>
    </row>
    <row r="133" spans="10:10" x14ac:dyDescent="0.15">
      <c r="J133" s="39"/>
    </row>
    <row r="134" spans="10:10" x14ac:dyDescent="0.15">
      <c r="J134" s="39"/>
    </row>
    <row r="135" spans="10:10" x14ac:dyDescent="0.15">
      <c r="J135" s="39"/>
    </row>
    <row r="136" spans="10:10" x14ac:dyDescent="0.15">
      <c r="J136" s="39"/>
    </row>
    <row r="137" spans="10:10" x14ac:dyDescent="0.15">
      <c r="J137" s="39"/>
    </row>
    <row r="138" spans="10:10" x14ac:dyDescent="0.15">
      <c r="J138" s="39"/>
    </row>
    <row r="139" spans="10:10" x14ac:dyDescent="0.15">
      <c r="J139" s="39"/>
    </row>
    <row r="140" spans="10:10" x14ac:dyDescent="0.15">
      <c r="J140" s="39"/>
    </row>
    <row r="141" spans="10:10" x14ac:dyDescent="0.15">
      <c r="J141" s="39"/>
    </row>
    <row r="142" spans="10:10" x14ac:dyDescent="0.15">
      <c r="J142" s="39"/>
    </row>
    <row r="143" spans="10:10" x14ac:dyDescent="0.15">
      <c r="J143" s="39"/>
    </row>
    <row r="144" spans="10:10" x14ac:dyDescent="0.15">
      <c r="J144" s="39"/>
    </row>
    <row r="145" spans="10:10" x14ac:dyDescent="0.15">
      <c r="J145" s="39"/>
    </row>
    <row r="146" spans="10:10" x14ac:dyDescent="0.15">
      <c r="J146" s="39"/>
    </row>
    <row r="147" spans="10:10" x14ac:dyDescent="0.15">
      <c r="J147" s="39"/>
    </row>
    <row r="148" spans="10:10" x14ac:dyDescent="0.15">
      <c r="J148" s="39"/>
    </row>
    <row r="149" spans="10:10" x14ac:dyDescent="0.15">
      <c r="J149" s="39"/>
    </row>
    <row r="150" spans="10:10" x14ac:dyDescent="0.15">
      <c r="J150" s="39"/>
    </row>
    <row r="151" spans="10:10" x14ac:dyDescent="0.15">
      <c r="J151" s="39"/>
    </row>
    <row r="152" spans="10:10" x14ac:dyDescent="0.15">
      <c r="J152" s="39"/>
    </row>
    <row r="153" spans="10:10" x14ac:dyDescent="0.15">
      <c r="J153" s="39"/>
    </row>
    <row r="154" spans="10:10" x14ac:dyDescent="0.15">
      <c r="J154" s="39"/>
    </row>
    <row r="155" spans="10:10" x14ac:dyDescent="0.15">
      <c r="J155" s="39"/>
    </row>
    <row r="156" spans="10:10" x14ac:dyDescent="0.15">
      <c r="J156" s="39"/>
    </row>
    <row r="157" spans="10:10" x14ac:dyDescent="0.15">
      <c r="J157" s="39"/>
    </row>
    <row r="158" spans="10:10" x14ac:dyDescent="0.15">
      <c r="J158" s="39"/>
    </row>
    <row r="159" spans="10:10" x14ac:dyDescent="0.15">
      <c r="J159" s="39"/>
    </row>
    <row r="160" spans="10:10" x14ac:dyDescent="0.15">
      <c r="J160" s="39"/>
    </row>
    <row r="161" spans="9:10" x14ac:dyDescent="0.15">
      <c r="I161" s="54"/>
      <c r="J161" s="39"/>
    </row>
    <row r="162" spans="9:10" x14ac:dyDescent="0.15">
      <c r="J162" s="39"/>
    </row>
    <row r="163" spans="9:10" x14ac:dyDescent="0.15">
      <c r="J163" s="39"/>
    </row>
    <row r="164" spans="9:10" x14ac:dyDescent="0.15">
      <c r="J164" s="39"/>
    </row>
    <row r="165" spans="9:10" x14ac:dyDescent="0.15">
      <c r="J165" s="39"/>
    </row>
    <row r="166" spans="9:10" x14ac:dyDescent="0.15">
      <c r="J166" s="39"/>
    </row>
    <row r="167" spans="9:10" x14ac:dyDescent="0.15">
      <c r="J167" s="39"/>
    </row>
    <row r="168" spans="9:10" x14ac:dyDescent="0.15">
      <c r="J168" s="39"/>
    </row>
    <row r="169" spans="9:10" x14ac:dyDescent="0.15">
      <c r="J169" s="39"/>
    </row>
    <row r="170" spans="9:10" x14ac:dyDescent="0.15">
      <c r="J170" s="39"/>
    </row>
    <row r="171" spans="9:10" x14ac:dyDescent="0.15">
      <c r="J171" s="39"/>
    </row>
    <row r="172" spans="9:10" x14ac:dyDescent="0.15">
      <c r="J172" s="39"/>
    </row>
    <row r="173" spans="9:10" x14ac:dyDescent="0.15">
      <c r="J173" s="39"/>
    </row>
    <row r="174" spans="9:10" x14ac:dyDescent="0.15">
      <c r="J174" s="39"/>
    </row>
    <row r="175" spans="9:10" x14ac:dyDescent="0.15">
      <c r="J175" s="39"/>
    </row>
    <row r="176" spans="9:10" x14ac:dyDescent="0.15">
      <c r="J176" s="39"/>
    </row>
    <row r="177" spans="10:10" x14ac:dyDescent="0.15">
      <c r="J177" s="39"/>
    </row>
    <row r="178" spans="10:10" x14ac:dyDescent="0.15">
      <c r="J178" s="39"/>
    </row>
    <row r="179" spans="10:10" x14ac:dyDescent="0.15">
      <c r="J179" s="39"/>
    </row>
    <row r="180" spans="10:10" x14ac:dyDescent="0.15">
      <c r="J180" s="39"/>
    </row>
    <row r="181" spans="10:10" x14ac:dyDescent="0.15">
      <c r="J181" s="39"/>
    </row>
    <row r="182" spans="10:10" x14ac:dyDescent="0.15">
      <c r="J182" s="39"/>
    </row>
    <row r="183" spans="10:10" x14ac:dyDescent="0.15">
      <c r="J183" s="39"/>
    </row>
    <row r="184" spans="10:10" x14ac:dyDescent="0.15">
      <c r="J184" s="39"/>
    </row>
    <row r="185" spans="10:10" x14ac:dyDescent="0.15">
      <c r="J185" s="39"/>
    </row>
    <row r="186" spans="10:10" x14ac:dyDescent="0.15">
      <c r="J186" s="39"/>
    </row>
    <row r="187" spans="10:10" x14ac:dyDescent="0.15">
      <c r="J187" s="39"/>
    </row>
    <row r="188" spans="10:10" x14ac:dyDescent="0.15">
      <c r="J188" s="39"/>
    </row>
    <row r="189" spans="10:10" x14ac:dyDescent="0.15">
      <c r="J189" s="39"/>
    </row>
    <row r="190" spans="10:10" x14ac:dyDescent="0.15">
      <c r="J190" s="39"/>
    </row>
    <row r="191" spans="10:10" x14ac:dyDescent="0.15">
      <c r="J191" s="39"/>
    </row>
    <row r="192" spans="10:10" x14ac:dyDescent="0.15">
      <c r="J192" s="39"/>
    </row>
    <row r="193" spans="10:10" x14ac:dyDescent="0.15">
      <c r="J193" s="39"/>
    </row>
    <row r="194" spans="10:10" x14ac:dyDescent="0.15">
      <c r="J194" s="39"/>
    </row>
    <row r="195" spans="10:10" x14ac:dyDescent="0.15">
      <c r="J195" s="39"/>
    </row>
    <row r="196" spans="10:10" x14ac:dyDescent="0.15">
      <c r="J196" s="39"/>
    </row>
    <row r="197" spans="10:10" x14ac:dyDescent="0.15">
      <c r="J197" s="39"/>
    </row>
    <row r="198" spans="10:10" x14ac:dyDescent="0.15">
      <c r="J198" s="39"/>
    </row>
    <row r="199" spans="10:10" x14ac:dyDescent="0.15">
      <c r="J199" s="39"/>
    </row>
    <row r="200" spans="10:10" x14ac:dyDescent="0.15">
      <c r="J200" s="39"/>
    </row>
    <row r="201" spans="10:10" x14ac:dyDescent="0.15">
      <c r="J201" s="39"/>
    </row>
    <row r="202" spans="10:10" x14ac:dyDescent="0.15">
      <c r="J202" s="39"/>
    </row>
    <row r="203" spans="10:10" x14ac:dyDescent="0.15">
      <c r="J203" s="39"/>
    </row>
    <row r="204" spans="10:10" x14ac:dyDescent="0.15">
      <c r="J204" s="39"/>
    </row>
    <row r="205" spans="10:10" x14ac:dyDescent="0.15">
      <c r="J205" s="39"/>
    </row>
    <row r="206" spans="10:10" x14ac:dyDescent="0.15">
      <c r="J206" s="39"/>
    </row>
    <row r="207" spans="10:10" x14ac:dyDescent="0.15">
      <c r="J207" s="39"/>
    </row>
    <row r="208" spans="10:10" x14ac:dyDescent="0.15">
      <c r="J208" s="39"/>
    </row>
    <row r="209" spans="10:10" x14ac:dyDescent="0.15">
      <c r="J209" s="39"/>
    </row>
    <row r="210" spans="10:10" x14ac:dyDescent="0.15">
      <c r="J210" s="39"/>
    </row>
    <row r="211" spans="10:10" x14ac:dyDescent="0.15">
      <c r="J211" s="39"/>
    </row>
    <row r="212" spans="10:10" x14ac:dyDescent="0.15">
      <c r="J212" s="39"/>
    </row>
    <row r="213" spans="10:10" x14ac:dyDescent="0.15">
      <c r="J213" s="39"/>
    </row>
    <row r="214" spans="10:10" x14ac:dyDescent="0.15">
      <c r="J214" s="39"/>
    </row>
    <row r="215" spans="10:10" x14ac:dyDescent="0.15">
      <c r="J215" s="39"/>
    </row>
    <row r="216" spans="10:10" x14ac:dyDescent="0.15">
      <c r="J216" s="39"/>
    </row>
    <row r="217" spans="10:10" x14ac:dyDescent="0.15">
      <c r="J217" s="39"/>
    </row>
    <row r="218" spans="10:10" x14ac:dyDescent="0.15">
      <c r="J218" s="39"/>
    </row>
    <row r="219" spans="10:10" x14ac:dyDescent="0.15">
      <c r="J219" s="39"/>
    </row>
    <row r="220" spans="10:10" x14ac:dyDescent="0.15">
      <c r="J220" s="39"/>
    </row>
    <row r="221" spans="10:10" x14ac:dyDescent="0.15">
      <c r="J221" s="39"/>
    </row>
  </sheetData>
  <mergeCells count="19">
    <mergeCell ref="A35:B35"/>
    <mergeCell ref="A38:G38"/>
    <mergeCell ref="A47:G47"/>
    <mergeCell ref="A48:G48"/>
    <mergeCell ref="A49:G49"/>
    <mergeCell ref="A11:G11"/>
    <mergeCell ref="A23:G23"/>
    <mergeCell ref="A25:G25"/>
    <mergeCell ref="F32:G32"/>
    <mergeCell ref="A34:B34"/>
    <mergeCell ref="C32:C33"/>
    <mergeCell ref="D32:D33"/>
    <mergeCell ref="E32:E33"/>
    <mergeCell ref="A32:B33"/>
    <mergeCell ref="B2:F2"/>
    <mergeCell ref="B3:F3"/>
    <mergeCell ref="A4:G4"/>
    <mergeCell ref="F7:G7"/>
    <mergeCell ref="F8:G8"/>
  </mergeCells>
  <conditionalFormatting sqref="A32:C33">
    <cfRule type="expression" dxfId="0" priority="1" stopIfTrue="1">
      <formula>VALUE(NoDPSchedule)&lt;VALUE(LEFT(A32,2))</formula>
    </cfRule>
  </conditionalFormatting>
  <printOptions horizontalCentered="1"/>
  <pageMargins left="0.23622047244094499" right="0.23622047244094499" top="0.511811023622047" bottom="0.511811023622047" header="0.511811023622047" footer="0.511811023622047"/>
  <pageSetup paperSize="9" scale="42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33</vt:i4>
      </vt:variant>
    </vt:vector>
  </HeadingPairs>
  <TitlesOfParts>
    <vt:vector size="35" baseType="lpstr">
      <vt:lpstr>10%SFDP &amp; 10% - 48MONS</vt:lpstr>
      <vt:lpstr>NDI_Reference</vt:lpstr>
      <vt:lpstr>ACServiceFee</vt:lpstr>
      <vt:lpstr>AllowedDefMonths</vt:lpstr>
      <vt:lpstr>BookingDiscount</vt:lpstr>
      <vt:lpstr>CommittedSalesDiscount</vt:lpstr>
      <vt:lpstr>Discount1Desc</vt:lpstr>
      <vt:lpstr>Discount1Value</vt:lpstr>
      <vt:lpstr>Downpayment</vt:lpstr>
      <vt:lpstr>DPDate</vt:lpstr>
      <vt:lpstr>EmployeeDiscount</vt:lpstr>
      <vt:lpstr>Floor</vt:lpstr>
      <vt:lpstr>FloorArea</vt:lpstr>
      <vt:lpstr>LumpOCDate</vt:lpstr>
      <vt:lpstr>Mode</vt:lpstr>
      <vt:lpstr>Model</vt:lpstr>
      <vt:lpstr>NoDPSchedule</vt:lpstr>
      <vt:lpstr>Note1</vt:lpstr>
      <vt:lpstr>OtherBSDiscount</vt:lpstr>
      <vt:lpstr>OtherChargesPercentage</vt:lpstr>
      <vt:lpstr>OtherDiscount</vt:lpstr>
      <vt:lpstr>OtherRSDiscount</vt:lpstr>
      <vt:lpstr>Payee</vt:lpstr>
      <vt:lpstr>PercentageDiscount</vt:lpstr>
      <vt:lpstr>ProjectName</vt:lpstr>
      <vt:lpstr>ReservationDate</vt:lpstr>
      <vt:lpstr>ReservationDiscount</vt:lpstr>
      <vt:lpstr>ReservationFee</vt:lpstr>
      <vt:lpstr>SellingPrice</vt:lpstr>
      <vt:lpstr>ServiceFee</vt:lpstr>
      <vt:lpstr>SpotDownpayment</vt:lpstr>
      <vt:lpstr>StandardDiscount</vt:lpstr>
      <vt:lpstr>TotalOtherCharges</vt:lpstr>
      <vt:lpstr>Tower</vt:lpstr>
      <vt:lpstr>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javier.marvin</dc:creator>
  <cp:lastModifiedBy>june.tabuno</cp:lastModifiedBy>
  <dcterms:created xsi:type="dcterms:W3CDTF">2022-03-10T16:04:00Z</dcterms:created>
  <dcterms:modified xsi:type="dcterms:W3CDTF">2023-09-30T21:55:08Z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1033-5.5.1.8075</vt:lpwstr>
  </property>
</Properties>
</file>